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ByDnZwO+wVP0gi1RpcU7lqk/fuRDmSE+eNBkj79fdKSXzmPO39RN5auh3rB+NAXIdPPymsPxchmnb4O2O0uwIQ==" workbookSaltValue="e1QBzi9j2gw1QOAzr7Nxc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T17" i="11"/>
  <c r="P16" i="17"/>
  <c r="BF12" i="11"/>
  <c r="BH25" i="16"/>
  <c r="BK20" i="11"/>
  <c r="BJ10" i="11"/>
  <c r="Q16" i="17"/>
  <c r="BF16" i="11"/>
  <c r="BL22" i="11"/>
  <c r="BI22" i="11"/>
  <c r="BK10" i="11"/>
  <c r="T14" i="20"/>
  <c r="BF25" i="8"/>
  <c r="AY14" i="8"/>
  <c r="BD9" i="8"/>
  <c r="BF9" i="8"/>
  <c r="L22" i="2"/>
  <c r="C30" i="7"/>
  <c r="L16" i="2"/>
  <c r="L17" i="2"/>
  <c r="X19" i="16"/>
  <c r="L18" i="2"/>
  <c r="AO14" i="21"/>
  <c r="L20" i="2"/>
  <c r="AA11" i="16"/>
  <c r="L21" i="2"/>
  <c r="AP14" i="16"/>
  <c r="AA9" i="16"/>
  <c r="V9" i="16"/>
  <c r="T23" i="17"/>
  <c r="T26" i="17" s="1"/>
  <c r="T30" i="17" s="1"/>
  <c r="BG16" i="13"/>
  <c r="BE16" i="13"/>
  <c r="X32" i="20"/>
  <c r="G23" i="14"/>
  <c r="G30" i="14"/>
  <c r="BD12" i="8" l="1"/>
  <c r="X13" i="16"/>
  <c r="V25" i="16"/>
  <c r="L9" i="2"/>
  <c r="U9" i="17"/>
  <c r="U31" i="17" s="1"/>
  <c r="L19" i="2"/>
  <c r="X10" i="21"/>
  <c r="L13" i="2"/>
  <c r="L25" i="2"/>
  <c r="L12" i="2"/>
  <c r="L29" i="2"/>
  <c r="BI21" i="11"/>
  <c r="BH25" i="11"/>
  <c r="AQ12" i="21"/>
  <c r="BH17" i="11"/>
  <c r="BM18" i="11"/>
  <c r="BK17" i="11"/>
  <c r="AZ25" i="11"/>
  <c r="AZ30" i="11" s="1"/>
  <c r="BH21" i="11"/>
  <c r="BL16" i="11"/>
  <c r="BL20" i="11"/>
  <c r="S16" i="16"/>
  <c r="BF20" i="11"/>
  <c r="R28" i="14"/>
  <c r="S11" i="17"/>
  <c r="BV10" i="16"/>
  <c r="BW16" i="20"/>
  <c r="BW17" i="20"/>
  <c r="BU21" i="17"/>
  <c r="BU11" i="17"/>
  <c r="BJ28" i="11"/>
  <c r="AZ9" i="11"/>
  <c r="AZ14" i="11" s="1"/>
  <c r="AZ13" i="11"/>
  <c r="BI19" i="11"/>
  <c r="BI25" i="11"/>
  <c r="BG22" i="11"/>
  <c r="Q18" i="20"/>
  <c r="Q23" i="20" s="1"/>
  <c r="V16" i="11"/>
  <c r="Z14" i="17"/>
  <c r="BE17" i="13"/>
  <c r="BF17" i="8"/>
  <c r="B16" i="6"/>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F30" i="2" s="1"/>
  <c r="H28" i="7"/>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<sst xmlns="http://schemas.openxmlformats.org/spreadsheetml/2006/main" count="2682" uniqueCount="1193">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</sst>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fDVRY195q5owDRfOTtv3I+B6quGSY72qlygFEcSpS9WNF5Le5mpZ5KYI1Nqg2ymU1r+T90z9ikiXb3F5uj6RQ==" saltValue="Ku8SjjdBRham3j8mUky8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5.329457364341085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340</v>
      </c>
      <c r="F17" s="240">
        <f>IF(ISNUMBER(IF(D_I="SI",Datos!K17,Datos!K17+Datos!AE17)),IF(D_I="SI",Datos!K17,Datos!K17+Datos!AE17)," - ")</f>
        <v>326</v>
      </c>
      <c r="G17" s="1390" t="str">
        <f>IF(Datos!E17&lt;&gt;"",Datos!E17,Datos!D17)</f>
        <v>04</v>
      </c>
      <c r="H17" s="241">
        <f>IF(ISNUMBER(IF(D_I="SI",Datos!L17,Datos!L17+Datos!AF17)),IF(D_I="SI",Datos!L17,Datos!L17+Datos!AF17)," - ")</f>
        <v>96</v>
      </c>
      <c r="I17" s="1400" t="str">
        <f>IF(ISNUMBER(Datos!AS17/Datos!BM17),Datos!AS17/Datos!BM17," - ")</f>
        <v xml:space="preserve"> - </v>
      </c>
      <c r="J17" s="1401">
        <f>IF(ISNUMBER(Datos!BY17/Datos!CN17),Datos!BY17/Datos!CN17," - ")</f>
        <v>0</v>
      </c>
      <c r="K17" s="244">
        <f t="shared" si="3"/>
        <v>0.17073170731707318</v>
      </c>
      <c r="L17" s="1402">
        <f>IF(ISNUMBER(NºAsuntos!I17/NºAsuntos!G17),(NºAsuntos!I17/NºAsuntos!G17)*11," - ")</f>
        <v>3.239263803680982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20</v>
      </c>
      <c r="F18" s="240">
        <f>IF(ISNUMBER(IF(D_I="SI",Datos!K18,Datos!K18+Datos!AE18)),IF(D_I="SI",Datos!K18,Datos!K18+Datos!AE18)," - ")</f>
        <v>16</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1.3333333333333333</v>
      </c>
      <c r="L18" s="1402">
        <f>IF(ISNUMBER(NºAsuntos!I18/NºAsuntos!G18),(NºAsuntos!I18/NºAsuntos!G18)*11," - ")</f>
        <v>4.8125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v>
      </c>
      <c r="D23" s="1407">
        <f>SUBTOTAL(9,D16:D22)</f>
        <v>85</v>
      </c>
      <c r="E23" s="1408">
        <f>SUBTOTAL(9,E16:E22)</f>
        <v>360</v>
      </c>
      <c r="F23" s="1408">
        <f>SUBTOTAL(9,F16:F22)</f>
        <v>342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v>
      </c>
      <c r="D31" s="1435">
        <f>SUBTOTAL(9,D9:D30)</f>
        <v>85</v>
      </c>
      <c r="E31" s="1436">
        <f>SUBTOTAL(9,E9:E30)</f>
        <v>360</v>
      </c>
      <c r="F31" s="1436">
        <f>SUBTOTAL(9,F9:F30)</f>
        <v>342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88xi9vtMmYuk49xVUOXAGchJr5C/wyjwEkYhfj6181McJiz6eMm4eSwjTfQLU14osupk45T0hjiMOoxmP7SHw==" saltValue="2H3qoEhstALachzfhTGUW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ADAuaqM8m9VVHSEiQPKmcFHumFA0hu93DHMfuWy5iZbNzJ+UWGWlC81GtSCPpmfdlXqTdwgfSl13kRJlJrhQ==" saltValue="DDRGQ7PfDy1iu5XtQm51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3</v>
      </c>
      <c r="U10" s="194">
        <v>4</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3</v>
      </c>
      <c r="BA10" s="139">
        <f t="shared" si="0"/>
        <v>4</v>
      </c>
      <c r="BB10" s="139">
        <f t="shared" si="0"/>
        <v>0</v>
      </c>
      <c r="BC10" s="135">
        <f t="shared" si="0"/>
        <v>1</v>
      </c>
      <c r="BD10" s="136">
        <f>IF(ISNUMBER(BA10/AZ10),BA10/AZ10," - ")</f>
        <v>1.3333333333333333</v>
      </c>
      <c r="BE10" s="137">
        <f>IF(ISNUMBER(BB10/BA10),BB10/BA10, " - ")</f>
        <v>0</v>
      </c>
      <c r="BF10" s="137">
        <f>IF(ISNUMBER(BC10/BA10),BC10/BA10, " - ")</f>
        <v>0.25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v>
      </c>
      <c r="J12" s="196">
        <v>553</v>
      </c>
      <c r="K12" s="196">
        <v>474</v>
      </c>
      <c r="L12" s="196">
        <v>248</v>
      </c>
      <c r="M12" s="196">
        <v>120</v>
      </c>
      <c r="N12" s="196">
        <v>268</v>
      </c>
      <c r="O12" s="194">
        <v>180</v>
      </c>
      <c r="P12" s="196">
        <v>130</v>
      </c>
      <c r="Q12" s="196">
        <v>110</v>
      </c>
      <c r="R12" s="196">
        <v>391</v>
      </c>
      <c r="S12" s="196">
        <v>158</v>
      </c>
      <c r="T12" s="196">
        <v>529</v>
      </c>
      <c r="U12" s="196">
        <v>518</v>
      </c>
      <c r="V12" s="196">
        <v>169</v>
      </c>
      <c r="W12" s="196">
        <v>111</v>
      </c>
      <c r="X12" s="202">
        <v>217</v>
      </c>
      <c r="Y12" s="204">
        <v>9</v>
      </c>
      <c r="Z12" s="194">
        <v>35</v>
      </c>
      <c r="AA12" s="194">
        <v>42</v>
      </c>
      <c r="AB12" s="194">
        <v>2</v>
      </c>
      <c r="AC12" s="196">
        <v>0</v>
      </c>
      <c r="AD12" s="196">
        <v>0</v>
      </c>
      <c r="AE12" s="196">
        <v>0</v>
      </c>
      <c r="AF12" s="202">
        <v>0</v>
      </c>
      <c r="AG12" s="215">
        <v>3</v>
      </c>
      <c r="AH12" s="196">
        <v>57</v>
      </c>
      <c r="AI12" s="196">
        <v>51</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161</v>
      </c>
      <c r="AZ12" s="137">
        <f t="shared" si="1"/>
        <v>586</v>
      </c>
      <c r="BA12" s="137">
        <f t="shared" si="1"/>
        <v>569</v>
      </c>
      <c r="BB12" s="137">
        <f t="shared" si="1"/>
        <v>178</v>
      </c>
      <c r="BC12" s="135">
        <f>IF(ISNUMBER(X12),X12," - ")</f>
        <v>217</v>
      </c>
      <c r="BD12" s="136">
        <f t="shared" si="2"/>
        <v>0.97098976109215018</v>
      </c>
      <c r="BE12" s="137">
        <f t="shared" si="3"/>
        <v>0.31282952548330406</v>
      </c>
      <c r="BF12" s="137">
        <f t="shared" si="4"/>
        <v>0.38137082601054484</v>
      </c>
      <c r="BG12" s="209">
        <f t="shared" si="5"/>
        <v>1.312829525483304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169</v>
      </c>
      <c r="J14" s="197">
        <f t="shared" si="7"/>
        <v>553</v>
      </c>
      <c r="K14" s="197">
        <f t="shared" si="7"/>
        <v>474</v>
      </c>
      <c r="L14" s="197">
        <f t="shared" si="7"/>
        <v>248</v>
      </c>
      <c r="M14" s="197">
        <f t="shared" si="7"/>
        <v>120</v>
      </c>
      <c r="N14" s="197">
        <f t="shared" si="7"/>
        <v>268</v>
      </c>
      <c r="O14" s="197">
        <f t="shared" si="7"/>
        <v>180</v>
      </c>
      <c r="P14" s="197">
        <f t="shared" si="7"/>
        <v>130</v>
      </c>
      <c r="Q14" s="197">
        <f t="shared" si="7"/>
        <v>110</v>
      </c>
      <c r="R14" s="197">
        <f t="shared" si="7"/>
        <v>391</v>
      </c>
      <c r="S14" s="197">
        <f t="shared" si="7"/>
        <v>159</v>
      </c>
      <c r="T14" s="197">
        <f t="shared" si="7"/>
        <v>532</v>
      </c>
      <c r="U14" s="197">
        <f t="shared" si="7"/>
        <v>522</v>
      </c>
      <c r="V14" s="197">
        <f t="shared" si="7"/>
        <v>169</v>
      </c>
      <c r="W14" s="197">
        <f t="shared" si="7"/>
        <v>112</v>
      </c>
      <c r="X14" s="197">
        <f t="shared" si="7"/>
        <v>217</v>
      </c>
      <c r="Y14" s="197">
        <f t="shared" si="7"/>
        <v>9</v>
      </c>
      <c r="Z14" s="197">
        <f t="shared" si="7"/>
        <v>35</v>
      </c>
      <c r="AA14" s="197">
        <f t="shared" si="7"/>
        <v>42</v>
      </c>
      <c r="AB14" s="197">
        <f t="shared" si="7"/>
        <v>2</v>
      </c>
      <c r="AC14" s="197">
        <f t="shared" si="7"/>
        <v>0</v>
      </c>
      <c r="AD14" s="197">
        <f t="shared" si="7"/>
        <v>0</v>
      </c>
      <c r="AE14" s="197">
        <f t="shared" si="7"/>
        <v>0</v>
      </c>
      <c r="AF14" s="197">
        <f>SUBTOTAL(9,AF9:AF13)</f>
        <v>0</v>
      </c>
      <c r="AG14" s="197">
        <f t="shared" ref="AG14:AT14" si="8">SUBTOTAL(9,AG8:AG13)</f>
        <v>3</v>
      </c>
      <c r="AH14" s="197">
        <f t="shared" si="8"/>
        <v>57</v>
      </c>
      <c r="AI14" s="197">
        <f t="shared" si="8"/>
        <v>51</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162</v>
      </c>
      <c r="AZ14" s="197">
        <f>SUBTOTAL(9,AZ8:AZ13)</f>
        <v>589</v>
      </c>
      <c r="BA14" s="197">
        <f>SUBTOTAL(9,BA8:BA13)</f>
        <v>573</v>
      </c>
      <c r="BB14" s="197">
        <f>SUBTOTAL(9,BB8:BB13)</f>
        <v>178</v>
      </c>
      <c r="BC14" s="197">
        <f>SUBTOTAL(9,BC8:BC13)</f>
        <v>218</v>
      </c>
      <c r="BD14" s="219">
        <f>IF(ISNUMBER(BA14/AZ14),BA14/AZ14," - ")</f>
        <v>0.97283531409168078</v>
      </c>
      <c r="BE14" s="220">
        <f>IF(ISNUMBER(BB14/BA14),BB14/BA14, " - ")</f>
        <v>0.31064572425828968</v>
      </c>
      <c r="BF14" s="220">
        <f>IF(ISNUMBER(BC14/BA14),BC14/BA14, " - ")</f>
        <v>0.38045375218150085</v>
      </c>
      <c r="BG14" s="221">
        <f>IF(ISNUMBER((AY14+AZ14)/BA14),(AY14+AZ14)/BA14," - ")</f>
        <v>1.3106457242582896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340</v>
      </c>
      <c r="K17" s="196">
        <v>326</v>
      </c>
      <c r="L17" s="196">
        <v>96</v>
      </c>
      <c r="M17" s="196">
        <v>49</v>
      </c>
      <c r="N17" s="196">
        <v>182</v>
      </c>
      <c r="O17" s="194">
        <v>1</v>
      </c>
      <c r="P17" s="196">
        <v>19</v>
      </c>
      <c r="Q17" s="196">
        <v>3</v>
      </c>
      <c r="R17" s="196">
        <v>23</v>
      </c>
      <c r="S17" s="196">
        <v>81</v>
      </c>
      <c r="T17" s="196">
        <v>328</v>
      </c>
      <c r="U17" s="196">
        <v>336</v>
      </c>
      <c r="V17" s="196">
        <v>82</v>
      </c>
      <c r="W17" s="196">
        <v>51</v>
      </c>
      <c r="X17" s="202">
        <v>176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81</v>
      </c>
      <c r="AZ17" s="137">
        <f t="shared" si="10"/>
        <v>328</v>
      </c>
      <c r="BA17" s="137">
        <f t="shared" si="10"/>
        <v>336</v>
      </c>
      <c r="BB17" s="137">
        <f t="shared" si="10"/>
        <v>82</v>
      </c>
      <c r="BC17" s="135">
        <f>IF(ISNUMBER(W17),W17," - ")</f>
        <v>51</v>
      </c>
      <c r="BD17" s="136">
        <f t="shared" ref="BD17:BD22" si="12">IF(ISNUMBER(BA17/AZ17),BA17/AZ17," - ")</f>
        <v>1.024390243902439</v>
      </c>
      <c r="BE17" s="137">
        <f t="shared" ref="BE17:BE22" si="13">IF(ISNUMBER(BB17/BA17),BB17/BA17, " - ")</f>
        <v>0.24404761904761904</v>
      </c>
      <c r="BF17" s="137">
        <f t="shared" ref="BF17:BF22" si="14">IF(ISNUMBER(BC17/BA17),BC17/BA17, " - ")</f>
        <v>0.15178571428571427</v>
      </c>
      <c r="BG17" s="209">
        <f t="shared" si="11"/>
        <v>1.2172619047619047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20</v>
      </c>
      <c r="K18" s="196">
        <v>16</v>
      </c>
      <c r="L18" s="196">
        <v>7</v>
      </c>
      <c r="M18" s="196">
        <v>0</v>
      </c>
      <c r="N18" s="196">
        <v>14</v>
      </c>
      <c r="O18" s="196">
        <v>1</v>
      </c>
      <c r="P18" s="196">
        <v>0</v>
      </c>
      <c r="Q18" s="196">
        <v>1</v>
      </c>
      <c r="R18" s="196">
        <v>0</v>
      </c>
      <c r="S18" s="196">
        <v>4</v>
      </c>
      <c r="T18" s="196">
        <v>17</v>
      </c>
      <c r="U18" s="196">
        <v>18</v>
      </c>
      <c r="V18" s="196">
        <v>3</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17</v>
      </c>
      <c r="BA18" s="139">
        <f t="shared" si="15"/>
        <v>18</v>
      </c>
      <c r="BB18" s="139">
        <f t="shared" si="15"/>
        <v>3</v>
      </c>
      <c r="BC18" s="135">
        <f>IF(ISNUMBER(W18),W18," - ")</f>
        <v>2</v>
      </c>
      <c r="BD18" s="136">
        <f>IF(ISNUMBER(BA18/AZ18),BA18/AZ18," - ")</f>
        <v>1.0588235294117647</v>
      </c>
      <c r="BE18" s="137">
        <f>IF(ISNUMBER(BB18/BA18),BB18/BA18, " - ")</f>
        <v>0.16666666666666666</v>
      </c>
      <c r="BF18" s="137">
        <f>IF(ISNUMBER(BC18/BA18),BC18/BA18, " - ")</f>
        <v>0.1111111111111111</v>
      </c>
      <c r="BG18" s="209">
        <f>IF(ISNUMBER((AY18+AZ18)/BA18),(AY18+AZ18)/BA18," - ")</f>
        <v>1.1666666666666667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360</v>
      </c>
      <c r="K23" s="197">
        <f t="shared" si="21"/>
        <v>342</v>
      </c>
      <c r="L23" s="197">
        <f t="shared" si="21"/>
        <v>103</v>
      </c>
      <c r="M23" s="197">
        <f t="shared" si="21"/>
        <v>49</v>
      </c>
      <c r="N23" s="197">
        <f t="shared" si="21"/>
        <v>196</v>
      </c>
      <c r="O23" s="197">
        <f t="shared" si="21"/>
        <v>2</v>
      </c>
      <c r="P23" s="197">
        <f t="shared" si="21"/>
        <v>19</v>
      </c>
      <c r="Q23" s="197">
        <f t="shared" si="21"/>
        <v>4</v>
      </c>
      <c r="R23" s="197">
        <f t="shared" si="21"/>
        <v>23</v>
      </c>
      <c r="S23" s="197">
        <f t="shared" si="21"/>
        <v>85</v>
      </c>
      <c r="T23" s="197">
        <f t="shared" si="21"/>
        <v>345</v>
      </c>
      <c r="U23" s="197">
        <f t="shared" si="21"/>
        <v>354</v>
      </c>
      <c r="V23" s="197">
        <f t="shared" si="21"/>
        <v>85</v>
      </c>
      <c r="W23" s="197">
        <f t="shared" si="21"/>
        <v>53</v>
      </c>
      <c r="X23" s="197">
        <f t="shared" si="21"/>
        <v>187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85</v>
      </c>
      <c r="AZ23" s="197">
        <f>SUBTOTAL(9,AZ15:AZ22)</f>
        <v>345</v>
      </c>
      <c r="BA23" s="197">
        <f>SUBTOTAL(9,BA15:BA22)</f>
        <v>354</v>
      </c>
      <c r="BB23" s="197">
        <f>SUBTOTAL(9,BB15:BB22)</f>
        <v>85</v>
      </c>
      <c r="BC23" s="197">
        <f>SUBTOTAL(9,BC15:BC22)</f>
        <v>53</v>
      </c>
      <c r="BD23" s="219">
        <f>IF(ISNUMBER(BA23/AZ23),BA23/AZ23," - ")</f>
        <v>1.0260869565217392</v>
      </c>
      <c r="BE23" s="220">
        <f>IF(ISNUMBER(BB23/BA23),BB23/BA23, " - ")</f>
        <v>0.24011299435028249</v>
      </c>
      <c r="BF23" s="220">
        <f>IF(ISNUMBER(BC23/BA23),BC23/BA23, " - ")</f>
        <v>0.14971751412429379</v>
      </c>
      <c r="BG23" s="221">
        <f>IF(ISNUMBER((AY23+AZ23)/BA23),(AY23+AZ23)/BA23," - ")</f>
        <v>1.2146892655367232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254</v>
      </c>
      <c r="J31" s="144">
        <f t="shared" si="36"/>
        <v>913</v>
      </c>
      <c r="K31" s="144">
        <f t="shared" si="36"/>
        <v>816</v>
      </c>
      <c r="L31" s="144">
        <f t="shared" si="36"/>
        <v>351</v>
      </c>
      <c r="M31" s="144">
        <f t="shared" si="36"/>
        <v>169</v>
      </c>
      <c r="N31" s="144">
        <f t="shared" si="36"/>
        <v>464</v>
      </c>
      <c r="O31" s="144">
        <f t="shared" si="36"/>
        <v>182</v>
      </c>
      <c r="P31" s="144">
        <f t="shared" si="36"/>
        <v>149</v>
      </c>
      <c r="Q31" s="144">
        <f t="shared" si="36"/>
        <v>114</v>
      </c>
      <c r="R31" s="144">
        <f t="shared" si="36"/>
        <v>414</v>
      </c>
      <c r="S31" s="144">
        <f t="shared" si="36"/>
        <v>244</v>
      </c>
      <c r="T31" s="144">
        <f t="shared" si="36"/>
        <v>877</v>
      </c>
      <c r="U31" s="144">
        <f t="shared" si="36"/>
        <v>876</v>
      </c>
      <c r="V31" s="144">
        <f t="shared" si="36"/>
        <v>254</v>
      </c>
      <c r="W31" s="144">
        <f t="shared" si="36"/>
        <v>165</v>
      </c>
      <c r="X31" s="144">
        <f t="shared" si="36"/>
        <v>404</v>
      </c>
      <c r="Y31" s="144">
        <f t="shared" si="36"/>
        <v>9</v>
      </c>
      <c r="Z31" s="144">
        <f t="shared" si="36"/>
        <v>35</v>
      </c>
      <c r="AA31" s="144">
        <f t="shared" si="36"/>
        <v>42</v>
      </c>
      <c r="AB31" s="144">
        <f t="shared" si="36"/>
        <v>2</v>
      </c>
      <c r="AC31" s="144">
        <f t="shared" si="36"/>
        <v>0</v>
      </c>
      <c r="AD31" s="144">
        <f t="shared" si="36"/>
        <v>0</v>
      </c>
      <c r="AE31" s="144">
        <f t="shared" si="36"/>
        <v>0</v>
      </c>
      <c r="AF31" s="144">
        <f t="shared" si="36"/>
        <v>0</v>
      </c>
      <c r="AG31" s="144">
        <f t="shared" si="36"/>
        <v>3</v>
      </c>
      <c r="AH31" s="144">
        <f t="shared" si="36"/>
        <v>57</v>
      </c>
      <c r="AI31" s="144">
        <f t="shared" si="36"/>
        <v>51</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247</v>
      </c>
      <c r="AZ31" s="144">
        <f>SUBTOTAL(9,AZ9:AZ30)</f>
        <v>934</v>
      </c>
      <c r="BA31" s="144">
        <f>SUBTOTAL(9,BA9:BA30)</f>
        <v>927</v>
      </c>
      <c r="BB31" s="144">
        <f>SUBTOTAL(9,BB9:BB30)</f>
        <v>263</v>
      </c>
      <c r="BC31" s="145">
        <f>SUBTOTAL(9,BC9:BC30)</f>
        <v>271</v>
      </c>
      <c r="BD31" s="227">
        <f>IF(ISNUMBER(BA31/AZ31),BA31/AZ31," - ")</f>
        <v>0.99250535331905787</v>
      </c>
      <c r="BE31" s="224">
        <f>IF(ISNUMBER(BB31/BA31),BB31/BA31, " - ")</f>
        <v>0.28371089536138078</v>
      </c>
      <c r="BF31" s="224">
        <f>IF(ISNUMBER(BC31/BA31),BC31/BA31, " - ")</f>
        <v>0.29234088457389429</v>
      </c>
      <c r="BG31" s="145">
        <f>IF(ISNUMBER((AY31+AZ31)/BA31),(AY31+AZ31)/BA31," - ")</f>
        <v>1.2740021574973031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o7AFiR/mn93WLsTMqxXNMQSw2qXYSzAeu5b+niqWfGtVFC6uN1jdnhrJIPe69dJutUB2ZcKk//ZEeQJvri52Q==" saltValue="4E4+vmkr7UstJ+fhmCn7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5whMkh1jUhhQM5GaDzoR1azeEQNoxyC6PKMxmAEymnnFwxZHdMEHG0xYsnF7ScMnC9jHAD2bHe6QyhvaG4lwg==" saltValue="Gz/PYo05OG4GJHDSY+lw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PEÑARANDA DE BRACAMONTE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130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391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120</v>
      </c>
      <c r="BD12" s="693">
        <f>IF(ISNUMBER(Datos!N12),Datos!N12," - ")</f>
        <v>268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0.87755102040816324</v>
      </c>
      <c r="BH12" s="764">
        <f>IF(ISNUMBER(((IF(J_V="SI",Datos!L12/Datos!K12,(Datos!L12+Datos!AB12)/(Datos!K12+Datos!AA12)))*11)/factor_trimestre),((IF(J_V="SI",Datos!L12/Datos!K12,(Datos!L12+Datos!AB12)/(Datos!K12+Datos!AA12)))*11)/factor_trimestre," - ")</f>
        <v>5.329457364341085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5.3908355795148251E-2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130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110</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391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120</v>
      </c>
      <c r="BD14" s="1198">
        <f t="shared" si="2"/>
        <v>268</v>
      </c>
      <c r="BE14" s="1198">
        <f t="shared" si="2"/>
        <v>0</v>
      </c>
      <c r="BF14" s="1198">
        <f t="shared" si="2"/>
        <v>0</v>
      </c>
      <c r="BG14" s="1198">
        <f>IF(ISNUMBER(Datos!K14/Datos!J14),Datos!K14/Datos!J14," - ")</f>
        <v>0.8571428571428571</v>
      </c>
      <c r="BH14" s="1202">
        <f>IF(ISNUMBER(((Datos!L14/Datos!K14)*11)/factor_trimestre),((Datos!L14/Datos!K14)*11)/factor_trimestre," - ")</f>
        <v>5.7552742616033763</v>
      </c>
      <c r="BI14" s="1198">
        <f>IF(ISNUMBER('Resol  Asuntos'!D14/NºAsuntos!G14),'Resol  Asuntos'!D14/NºAsuntos!G14," - ")</f>
        <v>0.23255813953488372</v>
      </c>
      <c r="BJ14" s="1198" t="str">
        <f>IF(ISNUMBER(Datos!CI14/Datos!CJ14),Datos!CI14/Datos!CJ14," - ")</f>
        <v xml:space="preserve"> - </v>
      </c>
      <c r="BK14" s="1198">
        <f>SUBTOTAL(9,BK8:BK13)</f>
        <v>0</v>
      </c>
      <c r="BL14" s="1198" t="str">
        <f>IF(ISNUMBER((I14-AB14+L14)/(F14)),(I14-AB14+L14)/(F14)," - ")</f>
        <v xml:space="preserve"> - </v>
      </c>
      <c r="BM14" s="1203">
        <f>SUBTOTAL(9,BM9:BM13)</f>
        <v>5.3908355795148251E-2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326</v>
      </c>
      <c r="AC17" s="240">
        <f>IF(ISNUMBER(Datos!Q17),Datos!Q17," - ")</f>
        <v>3</v>
      </c>
      <c r="AD17" s="374"/>
      <c r="AE17" s="562"/>
      <c r="AF17" s="741">
        <f>IF(ISNUMBER(IF(D_I="SI",Datos!L17,Datos!L17+Datos!AF17)),IF(D_I="SI",Datos!L17,Datos!L17+Datos!AF17)," - ")</f>
        <v>96</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182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0.95882352941176474</v>
      </c>
      <c r="BH17" s="764">
        <f>IF(ISNUMBER(((IF(D_I="SI",Datos!L17/Datos!K17,(Datos!L17+Datos!AF17)/(Datos!K17+Datos!AE17)))*11)/factor_trimestre),((IF(D_I="SI",Datos!L17/Datos!K17,(Datos!L17+Datos!AF17)/(Datos!K17+Datos!AE17)))*11)/factor_trimestre," - ")</f>
        <v>3.239263803680982</v>
      </c>
      <c r="BI17" s="266">
        <f>IF(ISNUMBER('Resol  Asuntos'!D17/NºAsuntos!G17),'Resol  Asuntos'!D17/NºAsuntos!G17," - ")</f>
        <v>0.15030674846625766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1</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4.8125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82</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342</v>
      </c>
      <c r="AC23" s="1198">
        <f t="shared" si="5"/>
        <v>4</v>
      </c>
      <c r="AD23" s="1198">
        <f t="shared" si="5"/>
        <v>0</v>
      </c>
      <c r="AE23" s="1198">
        <f t="shared" si="5"/>
        <v>0</v>
      </c>
      <c r="AF23" s="1198">
        <f t="shared" si="5"/>
        <v>103</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196</v>
      </c>
      <c r="BE23" s="1198">
        <f t="shared" si="5"/>
        <v>0</v>
      </c>
      <c r="BF23" s="1198">
        <f t="shared" si="5"/>
        <v>0</v>
      </c>
      <c r="BG23" s="1198">
        <f>IF(ISNUMBER(Datos!K23/Datos!J23),Datos!K23/Datos!J23," - ")</f>
        <v>0.95</v>
      </c>
      <c r="BH23" s="1202">
        <f>IF(ISNUMBER(((Datos!L23/Datos!K23)*11)/factor_trimestre),((Datos!L23/Datos!K23)*11)/factor_trimestre," - ")</f>
        <v>3.3128654970760234</v>
      </c>
      <c r="BI23" s="1198">
        <f>SUBTOTAL(9,BI16:BI22)</f>
        <v>0.15030674846625766</v>
      </c>
      <c r="BJ23" s="1198">
        <f>SUBTOTAL(9,BJ16:BJ22)</f>
        <v>0</v>
      </c>
      <c r="BK23" s="1198">
        <f>SUBTOTAL(9,BK16:BK22)</f>
        <v>0</v>
      </c>
      <c r="BL23" s="1198">
        <f>IF(ISNUMBER((I23-AB23+L23)/(F23)),(I23-AB23+L23)/(F23)," - ")</f>
        <v>-4.1707317073170733</v>
      </c>
      <c r="BM23" s="1205">
        <f>IF(ISNUMBER((Datos!P23-Datos!Q23)/(Datos!R23-Datos!P23+Datos!Q23)),(Datos!P23-Datos!Q23)/(Datos!R23-Datos!P23+Datos!Q23)," - ")</f>
        <v>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82</v>
      </c>
      <c r="G31" s="1117">
        <f t="shared" si="18"/>
        <v>85</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149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342</v>
      </c>
      <c r="AC31" s="1118">
        <f t="shared" si="19"/>
        <v>114</v>
      </c>
      <c r="AD31" s="1118">
        <f t="shared" si="19"/>
        <v>0</v>
      </c>
      <c r="AE31" s="1118">
        <f t="shared" si="19"/>
        <v>0</v>
      </c>
      <c r="AF31" s="1125">
        <f t="shared" si="19"/>
        <v>103</v>
      </c>
      <c r="AG31" s="1125">
        <f t="shared" si="19"/>
        <v>0</v>
      </c>
      <c r="AH31" s="1125">
        <f t="shared" si="19"/>
        <v>2</v>
      </c>
      <c r="AI31" s="1125">
        <f t="shared" si="19"/>
        <v>0</v>
      </c>
      <c r="AJ31" s="1118">
        <f t="shared" si="19"/>
        <v>0</v>
      </c>
      <c r="AK31" s="1125">
        <f t="shared" si="19"/>
        <v>0</v>
      </c>
      <c r="AL31" s="1125">
        <f t="shared" si="19"/>
        <v>0</v>
      </c>
      <c r="AM31" s="1125">
        <f t="shared" si="19"/>
        <v>414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v>
      </c>
      <c r="BD31" s="1117">
        <f t="shared" si="19"/>
        <v>464</v>
      </c>
      <c r="BE31" s="1117">
        <f t="shared" si="19"/>
        <v>0</v>
      </c>
      <c r="BF31" s="1127">
        <f t="shared" si="19"/>
        <v>0</v>
      </c>
      <c r="BG31" s="1223">
        <f>IF(ISNUMBER(Datos!K31/Datos!J31),Datos!K31/Datos!J31," - ")</f>
        <v>0.89375684556407453</v>
      </c>
      <c r="BH31" s="1223">
        <f>IF(ISNUMBER(((Datos!L31/Datos!K31)*11)/factor_trimestre),((Datos!L31/Datos!K31)*11)/factor_trimestre," - ")</f>
        <v>4.7316176470588243</v>
      </c>
      <c r="BI31" s="1103">
        <f>IF(ISNUMBER(Datos!J31/Datos!I31),Datos!J31/Datos!I31," - ")</f>
        <v>3.5944881889763778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-4.1707317073170733</v>
      </c>
      <c r="BM31" s="1188">
        <f>IF(ISNUMBER((Datos!P31-Datos!Q31+R31)/(Datos!R31-Datos!P31+Datos!Q31-R31)),(Datos!P31-Datos!Q31+R31)/(Datos!R31-Datos!P31+Datos!Q31-R31)," - ")</f>
        <v>9.2348284960422161E-2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42.344617918534418</v>
      </c>
      <c r="G33" s="674">
        <f>IF(ISNUMBER(STDEV(G8:G30)),STDEV(G8:G30),"-")</f>
        <v>40.475154048355336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161.58559577482382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52.537741536102274</v>
      </c>
      <c r="BD33" s="673"/>
      <c r="BE33" s="673">
        <f>IF(ISNUMBER(STDEV(BE8:BE30)),STDEV(BE8:BE30),"-")</f>
        <v>0</v>
      </c>
      <c r="BF33" s="678">
        <f>IF(ISNUMBER(STDEV(BF8:BF30)),STDEV(BF8:BF30),"-")</f>
        <v>0</v>
      </c>
      <c r="BG33" s="1052">
        <f>IF(ISNUMBER(STDEV(BG8:BG30)),STDEV(BG8:BG30),"-")</f>
        <v>6.6450813252750096E-2</v>
      </c>
      <c r="BH33" s="1058">
        <f>IF(ISNUMBER(STDEV(BH8:BH30)),STDEV(BH8:BH30),"-")</f>
        <v>1.1575405460173052</v>
      </c>
      <c r="BI33" s="273">
        <f>IF(ISNUMBER(STDEV(BI8:BI30)),STDEV(BI8:BI30),"-")</f>
        <v>9.6952784126420791E-2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w9kAxV538gKPVLpqErJWZ26DW5tPCzYccDtGkBmEMJGekofmDeUo1L0tLR+ZWfftC9RwJvv+O2k45r0f8wXnQ==" saltValue="i38yYLium0CD3PiLMCjE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PEÑARANDA DE BRACAMONTE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391</v>
      </c>
      <c r="AF12" s="693" t="str">
        <f>IF(ISNUMBER(Datos!BV12),Datos!BV12," - ")</f>
        <v xml:space="preserve"> - </v>
      </c>
      <c r="AG12" s="552" t="str">
        <f>IF(ISNUMBER(Datos!DV12),Datos!DV12," - ")</f>
        <v xml:space="preserve"> - </v>
      </c>
      <c r="AH12" s="553"/>
      <c r="AI12" s="554"/>
      <c r="AJ12" s="552">
        <f>IF(ISNUMBER(Datos!M12),Datos!M12," - ")</f>
        <v>120</v>
      </c>
      <c r="AK12" s="693">
        <f>IF(ISNUMBER(Datos!N12),Datos!N12," - ")</f>
        <v>268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5.329457364341085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5.3908355795148251E-2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110</v>
      </c>
      <c r="AA14" s="1199">
        <f t="shared" si="3"/>
        <v>0</v>
      </c>
      <c r="AB14" s="1199">
        <f t="shared" si="3"/>
        <v>0</v>
      </c>
      <c r="AC14" s="1199">
        <f t="shared" si="3"/>
        <v>0</v>
      </c>
      <c r="AD14" s="1199">
        <f t="shared" si="3"/>
        <v>0</v>
      </c>
      <c r="AE14" s="1199">
        <f t="shared" si="3"/>
        <v>391</v>
      </c>
      <c r="AF14" s="1211">
        <f t="shared" si="3"/>
        <v>0</v>
      </c>
      <c r="AG14" s="1211">
        <f t="shared" si="3"/>
        <v>0</v>
      </c>
      <c r="AH14" s="1211">
        <f t="shared" si="3"/>
        <v>0</v>
      </c>
      <c r="AI14" s="1211">
        <f t="shared" si="3"/>
        <v>0</v>
      </c>
      <c r="AJ14" s="1211">
        <f t="shared" si="3"/>
        <v>120</v>
      </c>
      <c r="AK14" s="1211">
        <f t="shared" si="3"/>
        <v>268</v>
      </c>
      <c r="AL14" s="1211">
        <f t="shared" si="3"/>
        <v>0</v>
      </c>
      <c r="AM14" s="1211">
        <f t="shared" si="3"/>
        <v>0</v>
      </c>
      <c r="AN14" s="1211">
        <f t="shared" si="3"/>
        <v>0</v>
      </c>
      <c r="AO14" s="1203">
        <f>IF(ISNUMBER(((NºAsuntos!I14/NºAsuntos!G14)*11)/factor_trimestre),((NºAsuntos!I14/NºAsuntos!G14)*11)/factor_trimestre," - ")</f>
        <v>5.329457364341085</v>
      </c>
      <c r="AP14" s="1213" t="str">
        <f>IF(ISNUMBER(Datos!CI14/Datos!CJ14),Datos!CI14/Datos!CJ14," - ")</f>
        <v xml:space="preserve"> - </v>
      </c>
      <c r="AQ14" s="1236">
        <f t="shared" ref="AQ14:AV14" si="4">SUBTOTAL(9,AQ9:AQ13)</f>
        <v>0</v>
      </c>
      <c r="AR14" s="1236">
        <f t="shared" si="4"/>
        <v>5.3908355795148251E-2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326</v>
      </c>
      <c r="Z17" s="805">
        <f>IF(ISNUMBER(Datos!Q17),Datos!Q17," - ")</f>
        <v>3</v>
      </c>
      <c r="AA17" s="551">
        <f>IF(ISNUMBER(IF(D_I="SI",Datos!L17,Datos!L17+Datos!AF17)),IF(D_I="SI",Datos!L17,Datos!L17+Datos!AF17)," - ")</f>
        <v>96</v>
      </c>
      <c r="AB17" s="549"/>
      <c r="AC17" s="549"/>
      <c r="AD17" s="563"/>
      <c r="AE17" s="563">
        <f>IF(ISNUMBER(Datos!R17),Datos!R17," - ")</f>
        <v>23</v>
      </c>
      <c r="AF17" s="693" t="str">
        <f>IF(ISNUMBER(Datos!BV17),Datos!BV17," - ")</f>
        <v xml:space="preserve"> - </v>
      </c>
      <c r="AG17" s="552"/>
      <c r="AH17" s="553"/>
      <c r="AI17" s="554"/>
      <c r="AJ17" s="552">
        <f>IF(ISNUMBER(Datos!M17),Datos!M17," - ")</f>
        <v>49</v>
      </c>
      <c r="AK17" s="693">
        <f>IF(ISNUMBER(Datos!N17),Datos!N17," - ")</f>
        <v>182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3.239263803680982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1</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82</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342</v>
      </c>
      <c r="Z23" s="1240">
        <f t="shared" si="6"/>
        <v>4</v>
      </c>
      <c r="AA23" s="1240">
        <f t="shared" si="6"/>
        <v>103</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49</v>
      </c>
      <c r="AK23" s="1240">
        <f t="shared" si="6"/>
        <v>196</v>
      </c>
      <c r="AL23" s="1240">
        <f t="shared" si="6"/>
        <v>0</v>
      </c>
      <c r="AM23" s="1240">
        <f t="shared" si="6"/>
        <v>0</v>
      </c>
      <c r="AN23" s="1240">
        <f t="shared" si="6"/>
        <v>0</v>
      </c>
      <c r="AO23" s="1242">
        <f>IF(ISNUMBER(((NºAsuntos!I23/NºAsuntos!G23)*11)/factor_trimestre),((NºAsuntos!I23/NºAsuntos!G23)*11)/factor_trimestre," - ")</f>
        <v>3.3128654970760234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82</v>
      </c>
      <c r="G31" s="1117">
        <f t="shared" si="12"/>
        <v>85</v>
      </c>
      <c r="H31" s="1118">
        <f t="shared" si="12"/>
        <v>0</v>
      </c>
      <c r="I31" s="1117">
        <f t="shared" si="12"/>
        <v>0</v>
      </c>
      <c r="J31" s="1119">
        <f t="shared" si="12"/>
        <v>0</v>
      </c>
      <c r="K31" s="1117">
        <f t="shared" si="12"/>
        <v>0</v>
      </c>
      <c r="L31" s="1120">
        <f t="shared" si="12"/>
        <v>0</v>
      </c>
      <c r="M31" s="1117">
        <f t="shared" si="12"/>
        <v>0</v>
      </c>
      <c r="N31" s="1118">
        <f t="shared" si="12"/>
        <v>149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342</v>
      </c>
      <c r="Z31" s="1124">
        <f t="shared" si="13"/>
        <v>114</v>
      </c>
      <c r="AA31" s="1125">
        <f t="shared" si="13"/>
        <v>103</v>
      </c>
      <c r="AB31" s="1125">
        <f t="shared" si="13"/>
        <v>0</v>
      </c>
      <c r="AC31" s="1125">
        <f t="shared" si="13"/>
        <v>0</v>
      </c>
      <c r="AD31" s="1126">
        <f t="shared" si="13"/>
        <v>0</v>
      </c>
      <c r="AE31" s="1126">
        <f t="shared" si="13"/>
        <v>414</v>
      </c>
      <c r="AF31" s="1127">
        <f t="shared" si="13"/>
        <v>0</v>
      </c>
      <c r="AG31" s="1128">
        <f t="shared" si="13"/>
        <v>0</v>
      </c>
      <c r="AH31" s="1129">
        <f t="shared" si="13"/>
        <v>0</v>
      </c>
      <c r="AI31" s="1127">
        <f t="shared" si="13"/>
        <v>0</v>
      </c>
      <c r="AJ31" s="1117">
        <f t="shared" si="13"/>
        <v>169</v>
      </c>
      <c r="AK31" s="1117">
        <f t="shared" si="13"/>
        <v>464</v>
      </c>
      <c r="AL31" s="1117">
        <f t="shared" si="13"/>
        <v>0</v>
      </c>
      <c r="AM31" s="1130">
        <f t="shared" si="13"/>
        <v>0</v>
      </c>
      <c r="AN31" s="1120">
        <f>IF(ISNUMBER(Datos!K31/Datos!J31),Datos!K31/Datos!J31," - ")</f>
        <v>0.89375684556407453</v>
      </c>
      <c r="AO31" s="1120">
        <f>IF(ISNUMBER(FIND("06",Criterios!A8,1)),(IF(ISNUMBER(((Datos!R31/Datos!Q31)*11)/factor_trimestre),((Datos!R31/Datos!Q31)*11)/factor_trimestre," - ")),(IF(ISNUMBER(((Datos!L31/Datos!K31)*11)/factor_trimestre),((Datos!L31/Datos!K31)*11)/factor_trimestre," - ")))</f>
        <v>4.7316176470588243</v>
      </c>
      <c r="AP31" s="1131" t="str">
        <f>IF(ISNUMBER(Datos!CI31/Datos!CJ31),Datos!CI31/Datos!CJ31," - ")</f>
        <v xml:space="preserve"> - </v>
      </c>
      <c r="AQ31" s="1131">
        <f>IF(OR(ISNUMBER(FIND("01",Criterios!A8,1)),ISNUMBER(FIND("02",Criterios!A8,1)),ISNUMBER(FIND("03",Criterios!A8,1)),ISNUMBER(FIND("04",Criterios!A8,1))),(J31-Y31+K31)/(F31-K31),(I31-Y31+K31)/(F31-K31))</f>
        <v>-4.1707317073170733</v>
      </c>
      <c r="AR31" s="1131">
        <f>IF(ISNUMBER((Datos!P31-Datos!Q31+O31)/(Datos!R31-Datos!P31+Datos!Q31-O31)),(Datos!P31-Datos!Q31+O31)/(Datos!R31-Datos!P31+Datos!Q31-O31)," - ")</f>
        <v>9.2348284960422161E-2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42.344617918534418</v>
      </c>
      <c r="G33" s="674">
        <f>IF(ISNUMBER(STDEV(G8:G30)),STDEV(G8:G30),"-")</f>
        <v>40.475154048355336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52.537741536102274</v>
      </c>
      <c r="AK33" s="276"/>
      <c r="AL33" s="276">
        <f>IF(ISNUMBER(STDEV(AL8:AL30)),STDEV(AL8:AL30),"-")</f>
        <v>0</v>
      </c>
      <c r="AM33" s="278">
        <f>IF(ISNUMBER(STDEV(AM8:AM30)),STDEV(AM8:AM30),"-")</f>
        <v>0</v>
      </c>
      <c r="AN33" s="660">
        <f>IF(ISNUMBER(STDEV(AN8:AN30)),STDEV(AN8:AN30),"-")</f>
        <v>0</v>
      </c>
      <c r="AO33" s="661">
        <f>IF(ISNUMBER(STDEV(AO8:AO30)),STDEV(AO8:AO30),"-")</f>
        <v>1.0520215438483396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tWn3eYoU0j0ovMGtqGI8yNRYahzF4jjQ8yr/3RshWeUNbtIXO+Ycj/sLv+HaeAWZtb6b6431hNgSMo2kHcf1Q==" saltValue="LLSsRc6zw7sHINqdFm5C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NIxA7LvHYr1M+i7an723emJWUGBNYBrOV7DP+IsHOXQ5BBJArtYC2Ve+xkSZNi8P8f8AdfJSGI+p9eIYaBb3w==" saltValue="l62jyfgqfc7lt2ER4WXN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oQU+ERUJnss/OVZFzkmMYtU/djV9kKgyHfI4HkXx3Vgi6ROW90XOeytYUi3K8yObub5itvKFtQ+vVqo0Z0qg==" saltValue="42WfD15iwu80Sp1a6dyN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PEÑARANDA DE BRACAMONTE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0.23255813953488372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0.16444343748524359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P8bfzlWK4dNb4w1K+O0hFtm3Fntnez0dVXnLllPkSd2uxE9Sf7jP0Amc5jRN65UQiBL0/5/AIkmww5oF08erA==" saltValue="aLqTvVCFSm8Bqtjjd+v3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LecFFF8BVBC37E7uN29WGyFeLY0y5BEL0TVJqzllMEk7rnck1JyLY4MIcqAmcvLwH0a/Mzfndr7AP/Nlb7sLQ==" saltValue="rn+iq7OMBVeqT96++vXz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PEÑARANDA DE BRACAMONTE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178</v>
      </c>
      <c r="D12" s="452">
        <f>IF(ISNUMBER(C12/Datos!BH12),C12/Datos!BH12," - ")</f>
        <v>178</v>
      </c>
      <c r="E12" s="451">
        <f>IF(ISNUMBER(IF(J_V="SI",Datos!J12,Datos!J12+Datos!Z12)),IF(J_V="SI",Datos!J12,Datos!J12+Datos!Z12)," - ")</f>
        <v>588</v>
      </c>
      <c r="F12" s="452">
        <f>IF(ISNUMBER(E12/B12),E12/B12," - ")</f>
        <v>588</v>
      </c>
      <c r="G12" s="451">
        <f>IF(ISNUMBER(IF(J_V="SI",Datos!K12,Datos!K12+Datos!AA12)),IF(J_V="SI",Datos!K12,Datos!K12+Datos!AA12)," - ")</f>
        <v>516</v>
      </c>
      <c r="H12" s="452">
        <f>IF(ISNUMBER(G12/B12),G12/B12," - ")</f>
        <v>516</v>
      </c>
      <c r="I12" s="451">
        <f>IF(ISNUMBER(IF(J_V="SI",Datos!L12,Datos!L12+Datos!AB12)),IF(J_V="SI",Datos!L12,Datos!L12+Datos!AB12)," - ")</f>
        <v>250</v>
      </c>
      <c r="J12" s="452">
        <f>IF(ISNUMBER(I12/B12),I12/B12," - ")</f>
        <v>250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178</v>
      </c>
      <c r="D14" s="1147" t="str">
        <f>IF(ISNUMBER(C14/Datos!BI14),C14/Datos!BI14," - ")</f>
        <v xml:space="preserve"> - </v>
      </c>
      <c r="E14" s="1146">
        <f>SUBTOTAL(9,E8:E13)</f>
        <v>588</v>
      </c>
      <c r="F14" s="1147">
        <f>IF(ISNUMBER(E14/B14),E14/B14," - ")</f>
        <v>588</v>
      </c>
      <c r="G14" s="1146">
        <f>SUBTOTAL(9,G8:G13)</f>
        <v>516</v>
      </c>
      <c r="H14" s="1147">
        <f>IF(ISNUMBER(G14/B14),G14/B14," - ")</f>
        <v>516</v>
      </c>
      <c r="I14" s="1146">
        <f>SUBTOTAL(9,I8:I13)</f>
        <v>250</v>
      </c>
      <c r="J14" s="1147">
        <f>IF(ISNUMBER(I14/B14),I14/B14," - ")</f>
        <v>250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340</v>
      </c>
      <c r="F17" s="452">
        <f>IF(ISNUMBER(E17/B17),E17/B17," - ")</f>
        <v>340</v>
      </c>
      <c r="G17" s="451">
        <f>IF(ISNUMBER(IF(D_I="SI",Datos!K17,Datos!K17+Datos!AE17)),IF(D_I="SI",Datos!K17,Datos!K17+Datos!AE17)," - ")</f>
        <v>326</v>
      </c>
      <c r="H17" s="452">
        <f>IF(ISNUMBER(G17/B17),G17/B17," - ")</f>
        <v>326</v>
      </c>
      <c r="I17" s="451">
        <f>IF(ISNUMBER(IF(D_I="SI",Datos!L17,Datos!L17+Datos!AF17)),IF(D_I="SI",Datos!L17,Datos!L17+Datos!AF17)," - ")</f>
        <v>96</v>
      </c>
      <c r="J17" s="452">
        <f>IF(ISNUMBER(I17/B17),I17/B17," - ")</f>
        <v>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20</v>
      </c>
      <c r="F18" s="452">
        <f>IF(ISNUMBER(E18/B18),E18/B18," - ")</f>
        <v>20</v>
      </c>
      <c r="G18" s="451">
        <f>IF(ISNUMBER(IF(D_I="SI",Datos!K18,Datos!K18+Datos!AE18)),IF(D_I="SI",Datos!K18,Datos!K18+Datos!AE18)," - ")</f>
        <v>16</v>
      </c>
      <c r="H18" s="452">
        <f>IF(ISNUMBER(G18/B18),G18/B18," - ")</f>
        <v>16</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360</v>
      </c>
      <c r="F23" s="1147">
        <f>IF(ISNUMBER(E23/B23),E23/B23," - ")</f>
        <v>360</v>
      </c>
      <c r="G23" s="1146">
        <f>SUBTOTAL(9,G15:G22)</f>
        <v>342</v>
      </c>
      <c r="H23" s="1147">
        <f>IF(ISNUMBER(G23/B23),G23/B23," - ")</f>
        <v>342</v>
      </c>
      <c r="I23" s="1146">
        <f>SUBTOTAL(9,I15:I22)</f>
        <v>103</v>
      </c>
      <c r="J23" s="1147">
        <f>IF(ISNUMBER(I23/B23),I23/B23," - ")</f>
        <v>103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263</v>
      </c>
      <c r="D31" s="1085" t="str">
        <f>IF(ISNUMBER(C31/Datos!BI31),C31/Datos!BI31," - ")</f>
        <v xml:space="preserve"> - </v>
      </c>
      <c r="E31" s="1084">
        <f>SUBTOTAL(9,E9:E30)</f>
        <v>948</v>
      </c>
      <c r="F31" s="1085">
        <f>IF(ISNUMBER(E31/B31),E31/B31," - ")</f>
        <v>948</v>
      </c>
      <c r="G31" s="1084">
        <f>SUBTOTAL(9,G9:G30)</f>
        <v>858</v>
      </c>
      <c r="H31" s="1085">
        <f>IF(ISNUMBER(G31/B31),G31/B31," - ")</f>
        <v>858</v>
      </c>
      <c r="I31" s="1084">
        <f>SUBTOTAL(9,I9:I30)</f>
        <v>353</v>
      </c>
      <c r="J31" s="1085">
        <f>IF(ISNUMBER(I31/B31),I31/B31," - ")</f>
        <v>353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o7rxtJEOPxhlY5eyOHMaXkaB2s45ZMWYWKznuUUOZCeJW+M77EWlEwwvW3hBN7xknLpl2hJi5cs7ey8b9rZ9A==" saltValue="3nV+dEnXxhlSzuzupTDj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PEÑARANDA DE BRACAMONTE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120</v>
      </c>
      <c r="AM12" s="914">
        <f>IF(ISNUMBER(Datos!N12+DatosP!N17),Datos!N12+DatosP!N17," - ")</f>
        <v>268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5.329457364341085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5.3908355795148251E-2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110</v>
      </c>
      <c r="AE14" s="1257">
        <f t="shared" si="1"/>
        <v>0</v>
      </c>
      <c r="AF14" s="1257">
        <f t="shared" si="1"/>
        <v>0</v>
      </c>
      <c r="AG14" s="1257">
        <f t="shared" si="1"/>
        <v>0</v>
      </c>
      <c r="AH14" s="1257">
        <f t="shared" si="1"/>
        <v>391</v>
      </c>
      <c r="AI14" s="1257">
        <f t="shared" si="1"/>
        <v>0</v>
      </c>
      <c r="AJ14" s="1257">
        <f t="shared" si="1"/>
        <v>0</v>
      </c>
      <c r="AK14" s="1257">
        <f t="shared" si="1"/>
        <v>0</v>
      </c>
      <c r="AL14" s="1257">
        <f t="shared" si="1"/>
        <v>120</v>
      </c>
      <c r="AM14" s="1257">
        <f t="shared" si="1"/>
        <v>268</v>
      </c>
      <c r="AN14" s="1257">
        <f t="shared" si="1"/>
        <v>0</v>
      </c>
      <c r="AO14" s="1257">
        <f t="shared" si="1"/>
        <v>0</v>
      </c>
      <c r="AP14" s="1262">
        <f>IF(ISNUMBER(((Datos!L14/Datos!K14)*11)/factor_trimestre),((Datos!L14/Datos!K14)*11)/factor_trimestre," - ")</f>
        <v>5.7552742616033763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5.3908355795148251E-2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3.3128654970760234</v>
      </c>
      <c r="AQ23" s="1262">
        <f>IF(ISNUMBER(((Datos!M23/Datos!L23)*11)/factor_trimestre),((Datos!M23/Datos!L23)*11)/factor_trimestre," - ")</f>
        <v>5.233009708737864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1.875</v>
      </c>
      <c r="AW23" s="1265">
        <f>IF(ISNUMBER((Datos!Q23-Datos!R23)/(Datos!S23-Datos!Q23+Datos!R23)),(Datos!Q23-Datos!R23)/(Datos!S23-Datos!Q23+Datos!R23)," - ")</f>
        <v>-0.18269230769230768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110</v>
      </c>
      <c r="AE31" s="1284">
        <f t="shared" si="9"/>
        <v>0</v>
      </c>
      <c r="AF31" s="1285">
        <f t="shared" si="9"/>
        <v>0</v>
      </c>
      <c r="AG31" s="1285">
        <f t="shared" si="9"/>
        <v>0</v>
      </c>
      <c r="AH31" s="1285">
        <f t="shared" si="9"/>
        <v>391</v>
      </c>
      <c r="AI31" s="1285">
        <f t="shared" si="9"/>
        <v>0</v>
      </c>
      <c r="AJ31" s="1286">
        <f t="shared" si="9"/>
        <v>0</v>
      </c>
      <c r="AK31" s="1286">
        <f t="shared" si="9"/>
        <v>0</v>
      </c>
      <c r="AL31" s="1278">
        <f t="shared" si="9"/>
        <v>120</v>
      </c>
      <c r="AM31" s="1278">
        <f t="shared" si="9"/>
        <v>268</v>
      </c>
      <c r="AN31" s="1278">
        <f t="shared" si="9"/>
        <v>0</v>
      </c>
      <c r="AO31" s="1278">
        <f t="shared" si="9"/>
        <v>0</v>
      </c>
      <c r="AP31" s="1278">
        <f>IF(ISNUMBER(((Datos!L31/Datos!K31)*11)/factor_trimestre),((Datos!L31/Datos!K31)*11)/factor_trimestre," - ")</f>
        <v>4.7316176470588243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9.2348284960422161E-2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61.967733539318672</v>
      </c>
      <c r="AM33" s="1006"/>
      <c r="AN33" s="1006">
        <f>IF(ISNUMBER(STDEV(AN8:AN30)),STDEV(AN8:AN30),"-")</f>
        <v>0</v>
      </c>
      <c r="AO33" s="1012">
        <f>IF(ISNUMBER(STDEV(AO8:AO30)),STDEV(AO8:AO30),"-")</f>
        <v>0</v>
      </c>
      <c r="AP33" s="1065">
        <f>IF(ISNUMBER(STDEV(AP8:AP30)),STDEV(AP8:AP30),"-")</f>
        <v>1.3046917491725594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wXa9aeX+n1wabAjyD4GhigibU4NYj2l9NstdZdG0SX2c5P/Da8ORLGYuUG4XGt+clFzQkROU/VZmKXh6REMC1A==" saltValue="LJQVFFFjSuUFjayi2liT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PEÑARANDA DE BRACAMONTE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h5L1UyF6ctJjfoxSWxrAwApOunCfGRmRREy7smBs5xlz/33aWuSkfG+1d6UNmDSb9ZTWVhU94qtWdSB5yo+YvQ==" saltValue="cP3neTpQHdalJn11yhIf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PEÑARANDA DE BRACAMONTE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120</v>
      </c>
      <c r="E12" s="452">
        <f t="shared" si="0"/>
        <v>120</v>
      </c>
      <c r="F12" s="451">
        <f>IF(ISNUMBER(Datos!N12),Datos!N12," - ")</f>
        <v>268</v>
      </c>
      <c r="G12" s="452">
        <f t="shared" si="1"/>
        <v>268</v>
      </c>
      <c r="H12" s="451">
        <f>IF(ISNUMBER(Datos!O12),Datos!O12," - ")</f>
        <v>180</v>
      </c>
      <c r="I12" s="452">
        <f t="shared" si="2"/>
        <v>180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120</v>
      </c>
      <c r="E14" s="1147">
        <f t="shared" si="0"/>
        <v>60</v>
      </c>
      <c r="F14" s="1146">
        <f>SUBTOTAL(9,F9:F13)</f>
        <v>268</v>
      </c>
      <c r="G14" s="1147">
        <f t="shared" si="1"/>
        <v>134</v>
      </c>
      <c r="H14" s="1146">
        <f>SUBTOTAL(9,H9:H13)</f>
        <v>180</v>
      </c>
      <c r="I14" s="1147">
        <f>IF(ISNUMBER(H14/B14),H14/B14," - ")</f>
        <v>90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49</v>
      </c>
      <c r="E17" s="452">
        <f t="shared" si="3"/>
        <v>49</v>
      </c>
      <c r="F17" s="451">
        <f>IF(ISNUMBER(Datos!N17),Datos!N17," - ")</f>
        <v>182</v>
      </c>
      <c r="G17" s="452">
        <f t="shared" si="4"/>
        <v>182</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49</v>
      </c>
      <c r="E23" s="1147">
        <f t="shared" si="3"/>
        <v>24.5</v>
      </c>
      <c r="F23" s="1146">
        <f>SUBTOTAL(9,F16:F22)</f>
        <v>196</v>
      </c>
      <c r="G23" s="1147">
        <f t="shared" si="4"/>
        <v>98</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169</v>
      </c>
      <c r="E31" s="1085">
        <f>IF(ISNUMBER(D31/B31),D31/B31," - ")</f>
        <v>169</v>
      </c>
      <c r="F31" s="1084">
        <f>SUBTOTAL(9,F8:F30)</f>
        <v>464</v>
      </c>
      <c r="G31" s="1085">
        <f>IF(ISNUMBER(F31/B31),F31/B31," - ")</f>
        <v>464</v>
      </c>
      <c r="H31" s="1084">
        <f>SUBTOTAL(9,H8:H30)</f>
        <v>182</v>
      </c>
      <c r="I31" s="1085">
        <f>IF(ISNUMBER(H31/B31),H31/B31," - ")</f>
        <v>182</v>
      </c>
    </row>
    <row r="34" spans="1:1">
      <c r="A34" s="439" t="str">
        <f>Criterios!A4</f>
        <v>Fecha Informe: 14 abr. 2023</v>
      </c>
    </row>
    <row r="39" spans="1:1">
      <c r="A39" s="462"/>
    </row>
  </sheetData>
  <sheetProtection algorithmName="SHA-512" hashValue="8lFo2J6gO2VPz3ymZlTiDnwHBpst1TVXvNJyw6C7yMKG0GVODIP7YR6OmRgj4u+FWRvurWm3Oi3Np8a/TxjyeA==" saltValue="4JQZSWaFUAooI1AZjPm9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PEÑARANDA DE BRACAMONTE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130</v>
      </c>
      <c r="C12" s="489">
        <f>IF(ISNUMBER(Datos!Q12),Datos!Q12," - ")</f>
        <v>110</v>
      </c>
      <c r="D12" s="456">
        <f>IF(ISNUMBER(Datos!R12),Datos!R12," - ")</f>
        <v>391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130</v>
      </c>
      <c r="C14" s="1150">
        <f>SUBTOTAL(9,C9:C13)</f>
        <v>110</v>
      </c>
      <c r="D14" s="1148">
        <f>SUBTOTAL(9,D9:D13)</f>
        <v>391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3</v>
      </c>
      <c r="D17" s="456">
        <f>IF(ISNUMBER(Datos!R17),Datos!R17," - ")</f>
        <v>23</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4</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149</v>
      </c>
      <c r="C31" s="1089">
        <f>SUBTOTAL(9,C8:C30)</f>
        <v>114</v>
      </c>
      <c r="D31" s="1090">
        <f>SUBTOTAL(9,D8:D30)</f>
        <v>414</v>
      </c>
    </row>
    <row r="32" spans="1:4" ht="7.5" customHeight="1"/>
    <row r="33" spans="1:1" ht="6" customHeight="1"/>
    <row r="34" spans="1:1">
      <c r="A34" s="439" t="str">
        <f>Criterios!A4</f>
        <v>Fecha Informe: 14 abr. 2023</v>
      </c>
    </row>
    <row r="39" spans="1:1">
      <c r="A39" s="462"/>
    </row>
  </sheetData>
  <sheetProtection algorithmName="SHA-512" hashValue="75bxyT/tMi7jUET/p9QHymtS3iqHe2eORt2ucG4TD757Cb//lHpYSIbk7wJZY4lcBaaFuLDRew0WYqzQVIgmpA==" saltValue="nCmJTSCUckH0Oipqda0W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PEÑARANDA DE BRACAMONTE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0.10559006211180125</v>
      </c>
      <c r="C12" s="515">
        <f>IF(ISNUMBER(
   IF(J_V="SI",(Datos!J12-Datos!T12)/Datos!T12,(Datos!J12+Datos!Z12-(Datos!T12+Datos!AH12))/(Datos!T12+Datos!AH12))
     ),IF(J_V="SI",(Datos!J12-Datos!T12)/Datos!T12,(Datos!J12+Datos!Z12-(Datos!T12+Datos!AH12))/(Datos!T12+Datos!AH12))," - ")</f>
        <v>3.4129692832764505E-3</v>
      </c>
      <c r="D12" s="515">
        <f>IF(ISNUMBER(
   IF(J_V="SI",(Datos!K12-Datos!U12)/Datos!U12,(Datos!K12+Datos!AA12-(Datos!U12+Datos!AI12))/(Datos!U12+Datos!AI12))
     ),IF(J_V="SI",(Datos!K12-Datos!U12)/Datos!U12,(Datos!K12+Datos!AA12-(Datos!U12+Datos!AI12))/(Datos!U12+Datos!AI12))," - ")</f>
        <v>-9.3145869947275917E-2</v>
      </c>
      <c r="E12" s="515">
        <f>IF(ISNUMBER(
   IF(J_V="SI",(Datos!L12-Datos!V12)/Datos!V12,(Datos!L12+Datos!AB12-(Datos!V12+Datos!AJ12))/(Datos!V12+Datos!AJ12))
     ),IF(J_V="SI",(Datos!L12-Datos!V12)/Datos!V12,(Datos!L12+Datos!AB12-(Datos!V12+Datos!AJ12))/(Datos!V12+Datos!AJ12))," - ")</f>
        <v>0.4044943820224719</v>
      </c>
      <c r="F12" s="515">
        <f>IF(ISNUMBER((Datos!M12-Datos!W12)/Datos!W12),(Datos!M12-Datos!W12)/Datos!W12," - ")</f>
        <v>8.1081081081081086E-2</v>
      </c>
      <c r="G12" s="516">
        <f>IF(ISNUMBER((Datos!N12-Datos!X12)/Datos!X12),(Datos!N12-Datos!X12)/Datos!X12," - ")</f>
        <v>0.23502304147465439</v>
      </c>
      <c r="H12" s="514">
        <f>IF(ISNUMBER(((NºAsuntos!G12/NºAsuntos!E12)-Datos!BD12)/Datos!BD12),((NºAsuntos!G12/NºAsuntos!E12)-Datos!BD12)/Datos!BD12," - ")</f>
        <v>-9.6230407804598156E-2</v>
      </c>
      <c r="I12" s="515">
        <f>IF(ISNUMBER(((NºAsuntos!I12/NºAsuntos!G12)-Datos!BE12)/Datos!BE12),((NºAsuntos!I12/NºAsuntos!G12)-Datos!BE12)/Datos!BE12," - ")</f>
        <v>0.54875446389687288</v>
      </c>
      <c r="J12" s="521">
        <f>IF(ISNUMBER((('Resol  Asuntos'!D12/NºAsuntos!G12)-Datos!BF12)/Datos!BF12),(('Resol  Asuntos'!D12/NºAsuntos!G12)-Datos!BF12)/Datos!BF12," - ")</f>
        <v>-0.39020469403065056</v>
      </c>
      <c r="K12" s="522">
        <f>IF(ISNUMBER((((NºAsuntos!C12+NºAsuntos!E12)/NºAsuntos!G12)-Datos!BG12)/Datos!BG12),(((NºAsuntos!C12+NºAsuntos!E12)/NºAsuntos!G12)-Datos!BG12)/Datos!BG12," - ")</f>
        <v>0.1307607691748908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9.8765432098765427E-2</v>
      </c>
      <c r="C14" s="1152">
        <f>IF(ISNUMBER(
   IF(J_V="SI",(Datos!J14-Datos!T14)/Datos!T14,(Datos!J14+Datos!Z14-(Datos!T14+Datos!AH14))/(Datos!T14+Datos!AH14))
     ),IF(J_V="SI",(Datos!J14-Datos!T14)/Datos!T14,(Datos!J14+Datos!Z14-(Datos!T14+Datos!AH14))/(Datos!T14+Datos!AH14))," - ")</f>
        <v>-1.697792869269949E-3</v>
      </c>
      <c r="D14" s="1152">
        <f>IF(ISNUMBER(
   IF(J_V="SI",(Datos!K14-Datos!U14)/Datos!U14,(Datos!K14+Datos!AA14-(Datos!U14+Datos!AI14))/(Datos!U14+Datos!AI14))
     ),IF(J_V="SI",(Datos!K14-Datos!U14)/Datos!U14,(Datos!K14+Datos!AA14-(Datos!U14+Datos!AI14))/(Datos!U14+Datos!AI14))," - ")</f>
        <v>-9.947643979057591E-2</v>
      </c>
      <c r="E14" s="1152">
        <f>IF(ISNUMBER(
   IF(J_V="SI",(Datos!L14-Datos!V14)/Datos!V14,(Datos!L14+Datos!AB14-(Datos!V14+Datos!AJ14))/(Datos!V14+Datos!AJ14))
     ),IF(J_V="SI",(Datos!L14-Datos!V14)/Datos!V14,(Datos!L14+Datos!AB14-(Datos!V14+Datos!AJ14))/(Datos!V14+Datos!AJ14))," - ")</f>
        <v>0.4044943820224719</v>
      </c>
      <c r="F14" s="1153">
        <f>IF(ISNUMBER((Datos!M14-Datos!W14)/Datos!W14),(Datos!M14-Datos!W14)/Datos!W14," - ")</f>
        <v>7.1428571428571425E-2</v>
      </c>
      <c r="G14" s="1154">
        <f>IF(ISNUMBER((Datos!N14-Datos!X14)/Datos!X14),(Datos!N14-Datos!X14)/Datos!X14," - ")</f>
        <v>0.23502304147465439</v>
      </c>
      <c r="H14" s="1154">
        <f>IF(ISNUMBER(((NºAsuntos!G14/NºAsuntos!E14)-Datos!BD14)/Datos!BD14),((NºAsuntos!G14/NºAsuntos!E14)-Datos!BD14)/Datos!BD14," - ")</f>
        <v>-9.7944937137158516E-2</v>
      </c>
      <c r="I14" s="1154">
        <f>IF(ISNUMBER(((NºAsuntos!I14/NºAsuntos!G14)-Datos!BE14)/Datos!BE14),((NºAsuntos!I14/NºAsuntos!G14)-Datos!BE14)/Datos!BE14," - ")</f>
        <v>0.55964201724588458</v>
      </c>
      <c r="J14" s="1154">
        <f>IF(ISNUMBER((('Resol  Asuntos'!D14/NºAsuntos!G14)-Datos!BF14)/Datos!BF14),(('Resol  Asuntos'!D14/NºAsuntos!G14)-Datos!BF14)/Datos!BF14," - ")</f>
        <v>-0.38873479837849367</v>
      </c>
      <c r="K14" s="1154">
        <f>IF(ISNUMBER((((NºAsuntos!C14+NºAsuntos!E14)/NºAsuntos!G14)-Datos!BG14)/Datos!BG14),(((NºAsuntos!C14+NºAsuntos!E14)/NºAsuntos!G14)-Datos!BG14)/Datos!BG14," - ")</f>
        <v>0.1326448456321804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1.2345679012345678E-2</v>
      </c>
      <c r="C17" s="515">
        <f>IF(ISNUMBER(
   IF(D_I="SI",(Datos!J17-Datos!T17)/Datos!T17,(Datos!J17+Datos!AD17-(Datos!T17+Datos!AL17))/(Datos!T17+Datos!AL17))
     ),IF(D_I="SI",(Datos!J17-Datos!T17)/Datos!T17,(Datos!J17+Datos!AD17-(Datos!T17+Datos!AL17))/(Datos!T17+Datos!AL17))," - ")</f>
        <v>3.6585365853658534E-2</v>
      </c>
      <c r="D17" s="515">
        <f>IF(ISNUMBER(
   IF(D_I="SI",(Datos!K17-Datos!U17)/Datos!U17,(Datos!K17+Datos!AE17-(Datos!U17+Datos!AM17))/(Datos!U17+Datos!AM17))
     ),IF(D_I="SI",(Datos!K17-Datos!U17)/Datos!U17,(Datos!K17+Datos!AE17-(Datos!U17+Datos!AM17))/(Datos!U17+Datos!AM17))," - ")</f>
        <v>-2.976190476190476E-2</v>
      </c>
      <c r="E17" s="515">
        <f>IF(ISNUMBER(
   IF(D_I="SI",(Datos!L17-Datos!V17)/Datos!V17,(Datos!L17+Datos!AF17-(Datos!V17+Datos!AN17))/(Datos!V17+Datos!AN17))
     ),IF(D_I="SI",(Datos!L17-Datos!V17)/Datos!V17,(Datos!L17+Datos!AF17-(Datos!V17+Datos!AN17))/(Datos!V17+Datos!AN17))," - ")</f>
        <v>0.17073170731707318</v>
      </c>
      <c r="F17" s="515">
        <f>IF(ISNUMBER((Datos!M17-Datos!W17)/Datos!W17),(Datos!M17-Datos!W17)/Datos!W17," - ")</f>
        <v>-3.9215686274509803E-2</v>
      </c>
      <c r="G17" s="516">
        <f>IF(ISNUMBER((Datos!N17-Datos!X17)/Datos!X17),(Datos!N17-Datos!X17)/Datos!X17," - ")</f>
        <v>3.4090909090909088E-2</v>
      </c>
      <c r="H17" s="514">
        <f>IF(ISNUMBER(((NºAsuntos!G17/NºAsuntos!E17)-Datos!BD17)/Datos!BD17),((NºAsuntos!G17/NºAsuntos!E17)-Datos!BD17)/Datos!BD17," - ")</f>
        <v>-6.4005602240896339E-2</v>
      </c>
      <c r="I17" s="515">
        <f>IF(ISNUMBER(((NºAsuntos!I17/NºAsuntos!G17)-Datos!BE17)/Datos!BE17),((NºAsuntos!I17/NºAsuntos!G17)-Datos!BE17)/Datos!BE17," - ")</f>
        <v>0.2066437228789467</v>
      </c>
      <c r="J17" s="521">
        <f>IF(ISNUMBER((('Resol  Asuntos'!D17/NºAsuntos!G17)-Datos!BF17)/Datos!BF17),(('Resol  Asuntos'!D17/NºAsuntos!G17)-Datos!BF17)/Datos!BF17," - ")</f>
        <v>-9.7437748105376823E-3</v>
      </c>
      <c r="K17" s="522">
        <f>IF(ISNUMBER((((NºAsuntos!C17+NºAsuntos!E17)/NºAsuntos!G17)-Datos!BG17)/Datos!BG17),(((NºAsuntos!C17+NºAsuntos!E17)/NºAsuntos!G17)-Datos!BG17)/Datos!BG17," - ")</f>
        <v>6.3434682826586028E-2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0.17647058823529413</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1.3333333333333333</v>
      </c>
      <c r="F18" s="515">
        <f>IF(ISNUMBER((Datos!M18-Datos!W18)/Datos!W18),(Datos!M18-Datos!W18)/Datos!W18," - ")</f>
        <v>-1</v>
      </c>
      <c r="G18" s="516">
        <f>IF(ISNUMBER((Datos!N18-Datos!X18)/Datos!X18),(Datos!N18-Datos!X18)/Datos!X18," - ")</f>
        <v>0.27272727272727271</v>
      </c>
      <c r="H18" s="514">
        <f>IF(ISNUMBER(((NºAsuntos!G18/NºAsuntos!E18)-Datos!BD18)/Datos!BD18),((NºAsuntos!G18/NºAsuntos!E18)-Datos!BD18)/Datos!BD18," - ")</f>
        <v>-0.24444444444444441</v>
      </c>
      <c r="I18" s="515">
        <f>IF(ISNUMBER(((NºAsuntos!I18/NºAsuntos!G18)-Datos!BE18)/Datos!BE18),((NºAsuntos!I18/NºAsuntos!G18)-Datos!BE18)/Datos!BE18," - ")</f>
        <v>1.6250000000000002</v>
      </c>
      <c r="J18" s="521">
        <f>IF(ISNUMBER((('Resol  Asuntos'!D18/NºAsuntos!G18)-Datos!BF18)/Datos!BF18),(('Resol  Asuntos'!D18/NºAsuntos!G18)-Datos!BF18)/Datos!BF18," - ")</f>
        <v>-1</v>
      </c>
      <c r="K18" s="522">
        <f>IF(ISNUMBER((((NºAsuntos!C18+NºAsuntos!E18)/NºAsuntos!G18)-Datos!BG18)/Datos!BG18),(((NºAsuntos!C18+NºAsuntos!E18)/NºAsuntos!G18)-Datos!BG18)/Datos!BG18," - ")</f>
        <v>0.23214285714285707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4.3478260869565216E-2</v>
      </c>
      <c r="D23" s="1152">
        <f>IF(ISNUMBER(
   IF(Criterios!B14="SI",(Datos!K23-Datos!U23)/Datos!U23,(Datos!K23+Datos!AE23-(Datos!U23+Datos!AM23))/(Datos!U23+Datos!AM23))
     ),IF(Criterios!B14="SI",(Datos!K23-Datos!U23)/Datos!U23,(Datos!K23+Datos!AE23-(Datos!U23+Datos!AM23))/(Datos!U23+Datos!AM23))," - ")</f>
        <v>-3.3898305084745763E-2</v>
      </c>
      <c r="E23" s="1152">
        <f>IF(ISNUMBER(
   IF(Criterios!B14="SI",(Datos!L23-Datos!V23)/Datos!V23,(Datos!L23+Datos!AF23-(Datos!V23+Datos!AN23))/(Datos!V23+Datos!AN23))
     ),IF(Criterios!B14="SI",(Datos!L23-Datos!V23)/Datos!V23,(Datos!L23+Datos!AF23-(Datos!V23+Datos!AN23))/(Datos!V23+Datos!AN23))," - ")</f>
        <v>0.21176470588235294</v>
      </c>
      <c r="F23" s="1153">
        <f>IF(ISNUMBER((Datos!M23-Datos!W23)/Datos!W23),(Datos!M23-Datos!W23)/Datos!W23," - ")</f>
        <v>-7.5471698113207544E-2</v>
      </c>
      <c r="G23" s="1154">
        <f>IF(ISNUMBER((Datos!N23-Datos!X23)/Datos!X23),(Datos!N23-Datos!X23)/Datos!X23," - ")</f>
        <v>4.8128342245989303E-2</v>
      </c>
      <c r="H23" s="1154">
        <f>IF(ISNUMBER(((NºAsuntos!G23/NºAsuntos!E23)-Datos!BD23)/Datos!BD23),((NºAsuntos!G23/NºAsuntos!E23)-Datos!BD23)/Datos!BD23," - ")</f>
        <v>-7.4152542372881464E-2</v>
      </c>
      <c r="I23" s="1154">
        <f>IF(ISNUMBER(((NºAsuntos!I23/NºAsuntos!G23)-Datos!BE23)/Datos!BE23),((NºAsuntos!I23/NºAsuntos!G23)-Datos!BE23)/Datos!BE23," - ")</f>
        <v>0.25428276573787412</v>
      </c>
      <c r="J23" s="1154">
        <f>IF(ISNUMBER((('Resol  Asuntos'!D23/NºAsuntos!G23)-Datos!BF23)/Datos!BF23),(('Resol  Asuntos'!D23/NºAsuntos!G23)-Datos!BF23)/Datos!BF23," - ")</f>
        <v>-4.3032108573320196E-2</v>
      </c>
      <c r="K23" s="1154">
        <f>IF(ISNUMBER((((NºAsuntos!C23+NºAsuntos!E23)/NºAsuntos!G23)-Datos!BG23)/Datos!BG23),(((NºAsuntos!C23+NºAsuntos!E23)/NºAsuntos!G23)-Datos!BG23)/Datos!BG23," - ")</f>
        <v>7.1195430436556406E-2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6.4777327935222673E-2</v>
      </c>
      <c r="C31" s="1092">
        <f>IF(ISNUMBER(
   IF(J_V="SI",(Datos!J31-Datos!T31)/Datos!T31,(Datos!J31+Datos!Z31-(Datos!T31+Datos!AH31))/(Datos!T31+Datos!AH31))
     ),IF(J_V="SI",(Datos!J31-Datos!T31)/Datos!T31,(Datos!J31+Datos!Z31-(Datos!T31+Datos!AH31))/(Datos!T31+Datos!AH31))," - ")</f>
        <v>1.4989293361884369E-2</v>
      </c>
      <c r="D31" s="1092">
        <f>IF(ISNUMBER(
   IF(J_V="SI",(Datos!K31-Datos!U31)/Datos!U31,(Datos!K31+Datos!AA31-(Datos!U31+Datos!AI31))/(Datos!U31+Datos!AI31))
     ),IF(J_V="SI",(Datos!K31-Datos!U31)/Datos!U31,(Datos!K31+Datos!AA31-(Datos!U31+Datos!AI31))/(Datos!U31+Datos!AI31))," - ")</f>
        <v>-7.4433656957928807E-2</v>
      </c>
      <c r="E31" s="1092">
        <f>IF(ISNUMBER(
   IF(J_V="SI",(Datos!L31-Datos!V31)/Datos!V31,(Datos!L31+Datos!AB31-(Datos!V31+Datos!AJ31))/(Datos!V31+Datos!AJ31))
     ),IF(J_V="SI",(Datos!L31-Datos!V31)/Datos!V31,(Datos!L31+Datos!AB31-(Datos!V31+Datos!AJ31))/(Datos!V31+Datos!AJ31))," - ")</f>
        <v>0.34220532319391633</v>
      </c>
      <c r="F31" s="1093">
        <f>IF(ISNUMBER((Datos!M31-Datos!W31)/Datos!W31),(Datos!M31-Datos!W31)/Datos!W31," - ")</f>
        <v>2.4242424242424242E-2</v>
      </c>
      <c r="G31" s="1094">
        <f>IF(ISNUMBER((Datos!N31-Datos!X31)/Datos!X31),(Datos!N31-Datos!X31)/Datos!X31," - ")</f>
        <v>0.14851485148514851</v>
      </c>
      <c r="H31" s="1095">
        <f>IF(ISNUMBER((Tasas!B31-Datos!BD31)/Datos!BD31),(Tasas!B31-Datos!BD31)/Datos!BD31," - ")</f>
        <v>-8.8102358226482602E-2</v>
      </c>
      <c r="I31" s="1096">
        <f>IF(ISNUMBER((Tasas!C31-Datos!BE31)/Datos!BE31),(Tasas!C31-Datos!BE31)/Datos!BE31," - ")</f>
        <v>0.45014491212209856</v>
      </c>
      <c r="J31" s="1097">
        <f>IF(ISNUMBER((Tasas!D31-Datos!BF31)/Datos!BF31),(Tasas!D31-Datos!BF31)/Datos!BF31," - ")</f>
        <v>-0.32623280778262331</v>
      </c>
      <c r="K31" s="1097">
        <f>IF(ISNUMBER((Tasas!E31-Datos!BG31)/Datos!BG31),(Tasas!E31-Datos!BG31)/Datos!BG31," - ")</f>
        <v>0.10786461633201681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i7cTVwfK8gtcQoHX6Y2jkqCgu43XW0nIy4ftdkFQJbLkO5Y5a5UM1mP+eKwz/+aZG3OD97WLrOSjx8XgBRO6Q==" saltValue="Znv00ekObTaqKIy3IQR7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PEÑARANDA DE BRACAMONTE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0.87755102040816324</v>
      </c>
      <c r="C12" s="498">
        <f>IF(ISNUMBER(NºAsuntos!I12/NºAsuntos!G12),NºAsuntos!I12/NºAsuntos!G12," - ")</f>
        <v>0.48449612403100772</v>
      </c>
      <c r="D12" s="499">
        <f>IF(ISNUMBER('Resol  Asuntos'!D12/NºAsuntos!G12),'Resol  Asuntos'!D12/NºAsuntos!G12," - ")</f>
        <v>0.23255813953488372</v>
      </c>
      <c r="E12" s="500">
        <f>IF(ISNUMBER((NºAsuntos!C12+NºAsuntos!E12)/NºAsuntos!G12),(NºAsuntos!C12+NºAsuntos!E12)/NºAsuntos!G12," - ")</f>
        <v>1.4844961240310077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0.87755102040816324</v>
      </c>
      <c r="C14" s="1156">
        <f>IF(ISNUMBER(NºAsuntos!I14/NºAsuntos!G14),NºAsuntos!I14/NºAsuntos!G14," - ")</f>
        <v>0.48449612403100772</v>
      </c>
      <c r="D14" s="1157">
        <f>IF(ISNUMBER('Resol  Asuntos'!D14/NºAsuntos!G14),'Resol  Asuntos'!D14/NºAsuntos!G14," - ")</f>
        <v>0.23255813953488372</v>
      </c>
      <c r="E14" s="1158">
        <f>IF(ISNUMBER((NºAsuntos!C14+NºAsuntos!E14)/NºAsuntos!G14),(NºAsuntos!C14+NºAsuntos!E14)/NºAsuntos!G14," - ")</f>
        <v>1.4844961240310077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0.95882352941176474</v>
      </c>
      <c r="C17" s="498">
        <f>IF(ISNUMBER(NºAsuntos!I17/NºAsuntos!G17),NºAsuntos!I17/NºAsuntos!G17," - ")</f>
        <v>0.29447852760736198</v>
      </c>
      <c r="D17" s="499">
        <f>IF(ISNUMBER('Resol  Asuntos'!D17/NºAsuntos!G17),'Resol  Asuntos'!D17/NºAsuntos!G17," - ")</f>
        <v>0.15030674846625766</v>
      </c>
      <c r="E17" s="500">
        <f>IF(ISNUMBER((NºAsuntos!C17+NºAsuntos!E17)/NºAsuntos!G17),(NºAsuntos!C17+NºAsuntos!E17)/NºAsuntos!G17," - ")</f>
        <v>1.294478527607362</v>
      </c>
      <c r="G17" s="523"/>
    </row>
    <row r="18" spans="1:7">
      <c r="A18" s="450" t="str">
        <f>Datos!A18</f>
        <v>Jdos. Violencia contra la mujer</v>
      </c>
      <c r="B18" s="497">
        <f>IF(ISNUMBER(NºAsuntos!G18/NºAsuntos!E18),NºAsuntos!G18/NºAsuntos!E18," - ")</f>
        <v>0.8</v>
      </c>
      <c r="C18" s="498">
        <f>IF(ISNUMBER(NºAsuntos!I18/NºAsuntos!G18),NºAsuntos!I18/NºAsuntos!G18," - ")</f>
        <v>0.4375</v>
      </c>
      <c r="D18" s="499">
        <f>IF(ISNUMBER('Resol  Asuntos'!D18/NºAsuntos!G18),'Resol  Asuntos'!D18/NºAsuntos!G18," - ")</f>
        <v>0</v>
      </c>
      <c r="E18" s="500">
        <f>IF(ISNUMBER((NºAsuntos!C18+NºAsuntos!E18)/NºAsuntos!G18),(NºAsuntos!C18+NºAsuntos!E18)/NºAsuntos!G18," - ")</f>
        <v>1.4375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v>
      </c>
      <c r="C23" s="1156">
        <f>IF(ISNUMBER(NºAsuntos!I23/NºAsuntos!G23),NºAsuntos!I23/NºAsuntos!G23," - ")</f>
        <v>0.30116959064327486</v>
      </c>
      <c r="D23" s="1159">
        <f>IF(ISNUMBER('Resol  Asuntos'!D23/NºAsuntos!G23),'Resol  Asuntos'!D23/NºAsuntos!G23," - ")</f>
        <v>0.14327485380116958</v>
      </c>
      <c r="E23" s="1158">
        <f>IF(ISNUMBER((NºAsuntos!C23+NºAsuntos!E23)/NºAsuntos!G23),(NºAsuntos!C23+NºAsuntos!E23)/NºAsuntos!G23," - ")</f>
        <v>1.3011695906432748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0.90506329113924056</v>
      </c>
      <c r="C31" s="1099">
        <f>IF(ISNUMBER(NºAsuntos!I31/NºAsuntos!G31),NºAsuntos!I31/NºAsuntos!G31," - ")</f>
        <v>0.41142191142191142</v>
      </c>
      <c r="D31" s="1100">
        <f>IF(ISNUMBER('Resol  Asuntos'!D31/NºAsuntos!G31),'Resol  Asuntos'!D31/NºAsuntos!G31," - ")</f>
        <v>0.19696969696969696</v>
      </c>
      <c r="E31" s="1101">
        <f>IF(ISNUMBER((NºAsuntos!C31+NºAsuntos!E31)/NºAsuntos!G31),(NºAsuntos!C31+NºAsuntos!E31)/NºAsuntos!G31," - ")</f>
        <v>1.4114219114219113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RgodJ5xLZpbcOGKfu+wCHVClG1crr9sI9KqJKiD/rgmghvS676Gbq6b+GFurq1V1pfl3Sk+KBHAPiP6gOiPng==" saltValue="39ZfT8SApw04TDdrtbak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PEÑARANDA DE BRACAMONTE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120</v>
      </c>
      <c r="AJ12" s="243" t="str">
        <f>IF(ISNUMBER(Datos!BW12),Datos!BW12," - ")</f>
        <v xml:space="preserve"> - </v>
      </c>
      <c r="AK12" s="242" t="str">
        <f>IF(ISNUMBER(Datos!BX12),Datos!BX12," - ")</f>
        <v xml:space="preserve"> - </v>
      </c>
      <c r="AL12" s="266">
        <f>IF(ISNUMBER(NºAsuntos!G12/NºAsuntos!E12),NºAsuntos!G12/NºAsuntos!E12," - ")</f>
        <v>0.87755102040816324</v>
      </c>
      <c r="AM12" s="284">
        <f>IF(ISNUMBER(((NºAsuntos!I12/NºAsuntos!G12)*11)/factor_trimestre),((NºAsuntos!I12/NºAsuntos!G12)*11)/factor_trimestre," - ")</f>
        <v>5.329457364341085</v>
      </c>
      <c r="AN12" s="267">
        <f>IF(ISNUMBER('Resol  Asuntos'!D12/NºAsuntos!G12),'Resol  Asuntos'!D12/NºAsuntos!G12," - ")</f>
        <v>0.23255813953488372</v>
      </c>
      <c r="AO12" s="268">
        <f>IF(ISNUMBER((NºAsuntos!C12+NºAsuntos!E12)/NºAsuntos!G12),(NºAsuntos!C12+NºAsuntos!E12)/NºAsuntos!G12," - ")</f>
        <v>1.4844961240310077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110</v>
      </c>
      <c r="Y14" s="1165">
        <f t="shared" si="6"/>
        <v>110</v>
      </c>
      <c r="Z14" s="1165">
        <f t="shared" si="6"/>
        <v>0</v>
      </c>
      <c r="AA14" s="1165">
        <f t="shared" si="6"/>
        <v>0</v>
      </c>
      <c r="AB14" s="1165">
        <f t="shared" si="6"/>
        <v>391</v>
      </c>
      <c r="AC14" s="1165">
        <f t="shared" si="6"/>
        <v>0</v>
      </c>
      <c r="AD14" s="1165">
        <f t="shared" si="6"/>
        <v>0</v>
      </c>
      <c r="AE14" s="1169">
        <f t="shared" si="6"/>
        <v>0</v>
      </c>
      <c r="AF14" s="1162">
        <f t="shared" si="6"/>
        <v>0</v>
      </c>
      <c r="AG14" s="1170">
        <f t="shared" si="6"/>
        <v>0</v>
      </c>
      <c r="AH14" s="1167">
        <f t="shared" si="6"/>
        <v>0</v>
      </c>
      <c r="AI14" s="1162">
        <f t="shared" si="6"/>
        <v>120</v>
      </c>
      <c r="AJ14" s="1164">
        <f t="shared" si="6"/>
        <v>0</v>
      </c>
      <c r="AK14" s="1167">
        <f>SUBTOTAL(9,AK9:AK13)</f>
        <v>0</v>
      </c>
      <c r="AL14" s="1171">
        <f>IF(ISNUMBER(NºAsuntos!G14/NºAsuntos!E14),NºAsuntos!G14/NºAsuntos!E14," - ")</f>
        <v>0.87755102040816324</v>
      </c>
      <c r="AM14" s="1171">
        <f>IF(ISNUMBER(((NºAsuntos!I14/NºAsuntos!G14)*11)/factor_trimestre),((NºAsuntos!I14/NºAsuntos!G14)*11)/factor_trimestre," - ")</f>
        <v>5.329457364341085</v>
      </c>
      <c r="AN14" s="1172">
        <f>IF(ISNUMBER('Resol  Asuntos'!D14/NºAsuntos!G14),'Resol  Asuntos'!D14/NºAsuntos!G14," - ")</f>
        <v>0.23255813953488372</v>
      </c>
      <c r="AO14" s="1173">
        <f>IF(ISNUMBER((NºAsuntos!C14+NºAsuntos!E14)/NºAsuntos!G14),(NºAsuntos!C14+NºAsuntos!E14)/NºAsuntos!G14," - ")</f>
        <v>1.4844961240310077</v>
      </c>
      <c r="AP14" s="1174" t="str">
        <f t="shared" si="2"/>
        <v xml:space="preserve"> - </v>
      </c>
      <c r="AQ14" s="1174" t="str">
        <f>IF(ISNUMBER((H14-W14+K14)/(F14)),(H14-W14+K14)/(F14)," - ")</f>
        <v xml:space="preserve"> - </v>
      </c>
      <c r="AR14" s="1175">
        <f>IF(ISNUMBER((Datos!P14-Datos!Q14)/(Datos!R14-Datos!P14+Datos!Q14)),(Datos!P14-Datos!Q14)/(Datos!R14-Datos!P14+Datos!Q14)," - ")</f>
        <v>5.3908355795148251E-2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326</v>
      </c>
      <c r="X17" s="240">
        <f>IF(ISNUMBER(Datos!Q17),Datos!Q17," - ")</f>
        <v>3</v>
      </c>
      <c r="Y17" s="374">
        <f t="shared" ref="Y17:Y22" si="9">SUM(W17:X17)</f>
        <v>329</v>
      </c>
      <c r="Z17" s="375" t="str">
        <f>IF(ISNUMBER(Datos!CC17),Datos!CC17," - ")</f>
        <v xml:space="preserve"> - </v>
      </c>
      <c r="AA17" s="372">
        <f>IF(ISNUMBER(IF(D_I="SI",Datos!L17,Datos!L17+Datos!AF17)),IF(D_I="SI",Datos!L17,Datos!L17+Datos!AF17)," - ")</f>
        <v>96</v>
      </c>
      <c r="AB17" s="374">
        <f>IF(ISNUMBER(Datos!R17),Datos!R17," - ")</f>
        <v>23</v>
      </c>
      <c r="AC17" s="374">
        <f t="shared" si="8"/>
        <v>119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0.95882352941176474</v>
      </c>
      <c r="AM17" s="284">
        <f>IF(ISNUMBER(((NºAsuntos!I17/NºAsuntos!G17)*11)/factor_trimestre),((NºAsuntos!I17/NºAsuntos!G17)*11)/factor_trimestre," - ")</f>
        <v>3.239263803680982</v>
      </c>
      <c r="AN17" s="267">
        <f>IF(ISNUMBER('Resol  Asuntos'!D17/NºAsuntos!G17),'Resol  Asuntos'!D17/NºAsuntos!G17," - ")</f>
        <v>0.15030674846625766</v>
      </c>
      <c r="AO17" s="268">
        <f>IF(ISNUMBER((NºAsuntos!C17+NºAsuntos!E17)/NºAsuntos!G17),(NºAsuntos!C17+NºAsuntos!E17)/NºAsuntos!G17," - ")</f>
        <v>1.294478527607362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1</v>
      </c>
      <c r="Y18" s="374">
        <f t="shared" si="9"/>
        <v>17</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4.8125</v>
      </c>
      <c r="AN18" s="267">
        <f>IF(ISNUMBER('Resol  Asuntos'!D18/NºAsuntos!G18),'Resol  Asuntos'!D18/NºAsuntos!G18," - ")</f>
        <v>0</v>
      </c>
      <c r="AO18" s="268">
        <f>IF(ISNUMBER((NºAsuntos!C18+NºAsuntos!E18)/NºAsuntos!G18),(NºAsuntos!C18+NºAsuntos!E18)/NºAsuntos!G18," - ")</f>
        <v>1.4375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85</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342</v>
      </c>
      <c r="X23" s="1164">
        <f t="shared" si="14"/>
        <v>4</v>
      </c>
      <c r="Y23" s="1165">
        <f t="shared" si="14"/>
        <v>346</v>
      </c>
      <c r="Z23" s="1165">
        <f t="shared" si="14"/>
        <v>0</v>
      </c>
      <c r="AA23" s="1165">
        <f t="shared" si="14"/>
        <v>103</v>
      </c>
      <c r="AB23" s="1165">
        <f t="shared" si="14"/>
        <v>23</v>
      </c>
      <c r="AC23" s="1165">
        <f t="shared" si="14"/>
        <v>126</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0.95</v>
      </c>
      <c r="AM23" s="1171">
        <f>IF(ISNUMBER(((NºAsuntos!I23/NºAsuntos!G23)*11)/factor_trimestre),((NºAsuntos!I23/NºAsuntos!G23)*11)/factor_trimestre," - ")</f>
        <v>3.3128654970760234</v>
      </c>
      <c r="AN23" s="1172">
        <f>IF(ISNUMBER('Resol  Asuntos'!D23/NºAsuntos!G23),'Resol  Asuntos'!D23/NºAsuntos!G23," - ")</f>
        <v>0.14327485380116958</v>
      </c>
      <c r="AO23" s="1173">
        <f>IF(ISNUMBER((NºAsuntos!C23+NºAsuntos!E23)/NºAsuntos!G23),(NºAsuntos!C23+NºAsuntos!E23)/NºAsuntos!G23," - ")</f>
        <v>1.3011695906432748</v>
      </c>
      <c r="AP23" s="1174" t="str">
        <f t="shared" si="2"/>
        <v xml:space="preserve"> - </v>
      </c>
      <c r="AQ23" s="1174">
        <f>IF(ISNUMBER((H23-W23+K23)/(F23)),(H23-W23+K23)/(F23)," - ")</f>
        <v>-4.1707317073170733</v>
      </c>
      <c r="AR23" s="1175">
        <f>IF(ISNUMBER((Datos!P23-Datos!Q23)/(Datos!R23-Datos!P23+Datos!Q23)),(Datos!P23-Datos!Q23)/(Datos!R23-Datos!P23+Datos!Q23)," - ")</f>
        <v>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82</v>
      </c>
      <c r="G31" s="1118">
        <f t="shared" si="20"/>
        <v>85</v>
      </c>
      <c r="H31" s="1117">
        <f t="shared" si="20"/>
        <v>0</v>
      </c>
      <c r="I31" s="1119">
        <f t="shared" si="20"/>
        <v>0</v>
      </c>
      <c r="J31" s="1119">
        <f t="shared" si="20"/>
        <v>0</v>
      </c>
      <c r="K31" s="1180">
        <f t="shared" si="20"/>
        <v>0</v>
      </c>
      <c r="L31" s="1119">
        <f t="shared" si="20"/>
        <v>149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342</v>
      </c>
      <c r="X31" s="1118">
        <f t="shared" si="21"/>
        <v>114</v>
      </c>
      <c r="Y31" s="1125">
        <f t="shared" si="21"/>
        <v>456</v>
      </c>
      <c r="Z31" s="1125">
        <f t="shared" si="21"/>
        <v>0</v>
      </c>
      <c r="AA31" s="1125">
        <f t="shared" si="21"/>
        <v>103</v>
      </c>
      <c r="AB31" s="1125">
        <f t="shared" si="21"/>
        <v>414</v>
      </c>
      <c r="AC31" s="1125">
        <f t="shared" si="21"/>
        <v>126</v>
      </c>
      <c r="AD31" s="1125">
        <f t="shared" si="21"/>
        <v>0</v>
      </c>
      <c r="AE31" s="1127">
        <f t="shared" si="21"/>
        <v>0</v>
      </c>
      <c r="AF31" s="1128">
        <f t="shared" si="21"/>
        <v>0</v>
      </c>
      <c r="AG31" s="1129">
        <f t="shared" si="21"/>
        <v>0</v>
      </c>
      <c r="AH31" s="1127">
        <f t="shared" si="21"/>
        <v>0</v>
      </c>
      <c r="AI31" s="1117">
        <f t="shared" si="21"/>
        <v>169</v>
      </c>
      <c r="AJ31" s="1117">
        <f t="shared" si="21"/>
        <v>0</v>
      </c>
      <c r="AK31" s="1127">
        <f t="shared" si="21"/>
        <v>0</v>
      </c>
      <c r="AL31" s="1183">
        <f>IF(ISNUMBER(NºAsuntos!G31/NºAsuntos!E31),NºAsuntos!G31/NºAsuntos!E31," - ")</f>
        <v>0.90506329113924056</v>
      </c>
      <c r="AM31" s="1184">
        <f>IF(ISNUMBER(((NºAsuntos!I31/NºAsuntos!G31)*11)/factor_trimestre),((NºAsuntos!I31/NºAsuntos!G31)*11)/factor_trimestre," - ")</f>
        <v>4.5256410256410255</v>
      </c>
      <c r="AN31" s="1184">
        <f>IF(ISNUMBER('Resol  Asuntos'!D31/NºAsuntos!G31),'Resol  Asuntos'!D31/NºAsuntos!G31," - ")</f>
        <v>0.19696969696969696</v>
      </c>
      <c r="AO31" s="1185">
        <f>IF(ISNUMBER((NºAsuntos!C31+NºAsuntos!E31)/NºAsuntos!G31),(NºAsuntos!C31+NºAsuntos!E31)/NºAsuntos!G31," - ")</f>
        <v>1.4114219114219113</v>
      </c>
      <c r="AP31" s="1186" t="str">
        <f t="shared" si="2"/>
        <v xml:space="preserve"> - </v>
      </c>
      <c r="AQ31" s="1187">
        <f>IF(OR(ISNUMBER(FIND("01",Criterios!A8,1)),ISNUMBER(FIND("02",Criterios!A8,1)),ISNUMBER(FIND("03",Criterios!A8,1)),ISNUMBER(FIND("04",Criterios!A8,1))),(I31-W31+K31)/(F31-K31),(H31-W31+K31)/(F31-K31))</f>
        <v>-4.1707317073170733</v>
      </c>
      <c r="AR31" s="1188">
        <f>IF(ISNUMBER((Datos!P31-Datos!Q31)/(Datos!R31-Datos!P31+Datos!Q31)),(Datos!P31-Datos!Q31)/(Datos!R31-Datos!P31+Datos!Q31)," - ")</f>
        <v>9.2348284960422161E-2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42.344617918534418</v>
      </c>
      <c r="G33" s="277">
        <f>IF(ISNUMBER(STDEV(G8:G30)),STDEV(G8:G30),"-")</f>
        <v>40.475154048355336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161.58559577482382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52.537741536102274</v>
      </c>
      <c r="AJ33" s="276">
        <f t="shared" si="25"/>
        <v>0</v>
      </c>
      <c r="AK33" s="278">
        <f t="shared" si="25"/>
        <v>0</v>
      </c>
      <c r="AL33" s="273">
        <f t="shared" si="25"/>
        <v>6.4629420709945373E-2</v>
      </c>
      <c r="AM33" s="274">
        <f t="shared" si="25"/>
        <v>1.0520215438483396</v>
      </c>
      <c r="AN33" s="274">
        <f t="shared" si="25"/>
        <v>9.5081391272147292E-2</v>
      </c>
      <c r="AO33" s="275">
        <f t="shared" si="25"/>
        <v>9.5638322168031253E-2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dJMCU1H+FlfTVS5SlxJGG6Q+Xyi2XJpJc6KUa0gAkC5CquihO+dZ322XD6brbGX6cks0c2IylKEFSrVkIVHT3Q==" saltValue="K85QylDTyaHFUMNSJogY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PEÑARANDA DE BRACAMONTE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8.1081081081081086E-2</v>
      </c>
      <c r="I12" s="395">
        <f>IF(ISNUMBER((Tasas!C12-Datos!BE12)/Datos!BE12),(Tasas!C12-Datos!BE12)/Datos!BE12," - ")</f>
        <v>0.54875446389687288</v>
      </c>
      <c r="J12" s="394">
        <f>IF(ISNUMBER((Tasas!D12-Datos!BF12)/Datos!BF12),(Tasas!D12-Datos!BF12)/Datos!BF12," - ")</f>
        <v>-0.39020469403065056</v>
      </c>
      <c r="K12" s="396">
        <f>IF(ISNUMBER((Tasas!E12-Datos!BG12)/Datos!BG12),(Tasas!E12-Datos!BG12)/Datos!BG12," - ")</f>
        <v>0.1307607691748908</v>
      </c>
      <c r="M12" t="e">
        <f>IF(Monitorios="SI",Datos!CE12,0)</f>
        <v>#REF!</v>
      </c>
      <c r="N12" t="e">
        <f>IF(Monitorios="SI",Datos!CF12,0)</f>
        <v>#REF!</v>
      </c>
      <c r="O12" t="e">
        <f>IF(Monitorios="SI",Datos!CG12,0)</f>
        <v>#REF!</v>
      </c>
      <c r="P12" t="e">
        <f>IF(Monitorios="SI",Datos!CH12,0)</f>
        <v>#REF!</v>
      </c>
      <c r="Q12">
        <f>IF(J_V="SI",0,Datos!AG12)</f>
        <v>3</v>
      </c>
      <c r="R12">
        <f>IF(J_V="SI",0,Datos!AH12)</f>
        <v>57</v>
      </c>
      <c r="S12">
        <f>IF(J_V="SI",0,Datos!AI12)</f>
        <v>51</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7.1428571428571425E-2</v>
      </c>
      <c r="I14" s="402">
        <f>IF(ISNUMBER((Tasas!C14-Datos!BE14)/Datos!BE14),(Tasas!C14-Datos!BE14)/Datos!BE14," - ")</f>
        <v>0.55964201724588458</v>
      </c>
      <c r="J14" s="400">
        <f>IF(ISNUMBER((Tasas!D14-Datos!BF14)/Datos!BF14),(Tasas!D14-Datos!BF14)/Datos!BF14," - ")</f>
        <v>-0.38873479837849367</v>
      </c>
      <c r="K14" s="403">
        <f>IF(ISNUMBER((Tasas!E14-Datos!BG14)/Datos!BG14),(Tasas!E14-Datos!BG14)/Datos!BG14," - ")</f>
        <v>0.1326448456321804</v>
      </c>
      <c r="M14" t="e">
        <f>IF(Monitorios="SI",Datos!CE14,0)</f>
        <v>#REF!</v>
      </c>
      <c r="N14" t="e">
        <f>IF(Monitorios="SI",Datos!CF14,0)</f>
        <v>#REF!</v>
      </c>
      <c r="O14" t="e">
        <f>IF(Monitorios="SI",Datos!CG14,0)</f>
        <v>#REF!</v>
      </c>
      <c r="P14" t="e">
        <f>IF(Monitorios="SI",Datos!CH14,0)</f>
        <v>#REF!</v>
      </c>
      <c r="Q14">
        <f>IF(J_V="SI",0,Datos!AG14)</f>
        <v>3</v>
      </c>
      <c r="R14">
        <f>IF(J_V="SI",0,Datos!AH14)</f>
        <v>57</v>
      </c>
      <c r="S14">
        <f>IF(J_V="SI",0,Datos!AI14)</f>
        <v>51</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1.2345679012345678E-2</v>
      </c>
      <c r="E17" s="393">
        <f>IF(ISNUMBER(
   IF(D_I="SI",(Datos!J17-Datos!T17)/Datos!T17,(Datos!J17+Datos!AD17-(Datos!T17+Datos!AL17))/(Datos!T17+Datos!AL17))
     ),IF(D_I="SI",(Datos!J17-Datos!T17)/Datos!T17,(Datos!J17+Datos!AD17-(Datos!T17+Datos!AL17))/(Datos!T17+Datos!AL17))," - ")</f>
        <v>3.6585365853658534E-2</v>
      </c>
      <c r="F17" s="393">
        <f>IF(ISNUMBER(
   IF(D_I="SI",(Datos!K17-Datos!U17)/Datos!U17,(Datos!K17+Datos!AE17-(Datos!U17+Datos!AM17))/(Datos!U17+Datos!AM17))
     ),IF(D_I="SI",(Datos!K17-Datos!U17)/Datos!U17,(Datos!K17+Datos!AE17-(Datos!U17+Datos!AM17))/(Datos!U17+Datos!AM17))," - ")</f>
        <v>-2.976190476190476E-2</v>
      </c>
      <c r="G17" s="394">
        <f>IF(ISNUMBER(
   IF(D_I="SI",(Datos!L17-Datos!V17)/Datos!V17,(Datos!L17+Datos!AF17-(Datos!V17+Datos!AN17))/(Datos!V17+Datos!AN17))
     ),IF(D_I="SI",(Datos!L17-Datos!V17)/Datos!V17,(Datos!L17+Datos!AF17-(Datos!V17+Datos!AN17))/(Datos!V17+Datos!AN17))," - ")</f>
        <v>0.17073170731707318</v>
      </c>
      <c r="H17" s="244">
        <f>IF(ISNUMBER((Datos!M17-Datos!W17)/Datos!W17),(Datos!M17-Datos!W17)/Datos!W17," - ")</f>
        <v>-3.9215686274509803E-2</v>
      </c>
      <c r="I17" s="395">
        <f>IF(ISNUMBER((Tasas!C17-Datos!BE17)/Datos!BE17),(Tasas!C17-Datos!BE17)/Datos!BE17," - ")</f>
        <v>0.2066437228789467</v>
      </c>
      <c r="J17" s="394">
        <f>IF(ISNUMBER((Tasas!D17-Datos!BF17)/Datos!BF17),(Tasas!D17-Datos!BF17)/Datos!BF17," - ")</f>
        <v>-9.7437748105376823E-3</v>
      </c>
      <c r="K17" s="396">
        <f>IF(ISNUMBER((Tasas!E17-Datos!BG17)/Datos!BG17),(Tasas!E17-Datos!BG17)/Datos!BG17," - ")</f>
        <v>6.3434682826586028E-2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0.17647058823529413</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1.3333333333333333</v>
      </c>
      <c r="H18" s="244">
        <f>IF(ISNUMBER((Datos!M18-Datos!W18)/Datos!W18),(Datos!M18-Datos!W18)/Datos!W18," - ")</f>
        <v>-1</v>
      </c>
      <c r="I18" s="395">
        <f>IF(ISNUMBER((Tasas!C18-Datos!BE18)/Datos!BE18),(Tasas!C18-Datos!BE18)/Datos!BE18," - ")</f>
        <v>1.6250000000000002</v>
      </c>
      <c r="J18" s="394">
        <f>IF(ISNUMBER((Tasas!D18-Datos!BF18)/Datos!BF18),(Tasas!D18-Datos!BF18)/Datos!BF18," - ")</f>
        <v>-1</v>
      </c>
      <c r="K18" s="396">
        <f>IF(ISNUMBER((Tasas!E18-Datos!BG18)/Datos!BG18),(Tasas!E18-Datos!BG18)/Datos!BG18," - ")</f>
        <v>0.23214285714285707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4.3478260869565216E-2</v>
      </c>
      <c r="F23" s="399">
        <f>IF(ISNUMBER(
   IF(D_I="SI",(Datos!K23-Datos!U23)/Datos!U23,(Datos!K23+Datos!AE23-(Datos!U23+Datos!AM23))/(Datos!U23+Datos!AM23))
     ),IF(D_I="SI",(Datos!K23-Datos!U23)/Datos!U23,(Datos!K23+Datos!AE23-(Datos!U23+Datos!AM23))/(Datos!U23+Datos!AM23))," - ")</f>
        <v>-3.3898305084745763E-2</v>
      </c>
      <c r="G23" s="400">
        <f>IF(ISNUMBER(
   IF(D_I="SI",(Datos!L23-Datos!V23)/Datos!V23,(Datos!L23+Datos!AF23-(Datos!V23+Datos!AN23))/(Datos!V23+Datos!AN23))
     ),IF(D_I="SI",(Datos!L23-Datos!V23)/Datos!V23,(Datos!L23+Datos!AF23-(Datos!V23+Datos!AN23))/(Datos!V23+Datos!AN23))," - ")</f>
        <v>0.21176470588235294</v>
      </c>
      <c r="H23" s="401">
        <f>IF(ISNUMBER((Datos!M23-Datos!W23)/Datos!W23),(Datos!M23-Datos!W23)/Datos!W23," - ")</f>
        <v>-7.5471698113207544E-2</v>
      </c>
      <c r="I23" s="402">
        <f>IF(ISNUMBER((Tasas!C23-Datos!BE23)/Datos!BE23),(Tasas!C23-Datos!BE23)/Datos!BE23," - ")</f>
        <v>0.25428276573787412</v>
      </c>
      <c r="J23" s="400">
        <f>IF(ISNUMBER((Tasas!D23-Datos!BF23)/Datos!BF23),(Tasas!D23-Datos!BF23)/Datos!BF23," - ")</f>
        <v>-4.3032108573320196E-2</v>
      </c>
      <c r="K23" s="403">
        <f>IF(ISNUMBER((Tasas!E23-Datos!BG23)/Datos!BG23),(Tasas!E23-Datos!BG23)/Datos!BG23," - ")</f>
        <v>7.1195430436556406E-2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6.4777327935222673E-2</v>
      </c>
      <c r="E31" s="409">
        <f>IF(ISNUMBER(
   IF(J_V="SI",(Datos!J31-Datos!T31)/Datos!T31,(Datos!J31+Datos!Z31-(Datos!T31+Datos!AH31))/(Datos!T31+Datos!AH31))
     ),IF(J_V="SI",(Datos!J31-Datos!T31)/Datos!T31,(Datos!J31+Datos!Z31-(Datos!T31+Datos!AH31))/(Datos!T31+Datos!AH31))," - ")</f>
        <v>1.4989293361884369E-2</v>
      </c>
      <c r="F31" s="409">
        <f>IF(ISNUMBER(
   IF(J_V="SI",(Datos!K31-Datos!U31)/Datos!U31,(Datos!K31+Datos!AA31-(Datos!U31+Datos!AI31))/(Datos!U31+Datos!AI31))
     ),IF(J_V="SI",(Datos!K31-Datos!U31)/Datos!U31,(Datos!K31+Datos!AA31-(Datos!U31+Datos!AI31))/(Datos!U31+Datos!AI31))," - ")</f>
        <v>-7.4433656957928807E-2</v>
      </c>
      <c r="G31" s="410">
        <f>IF(ISNUMBER(
   IF(J_V="SI",(Datos!L31-Datos!V31)/Datos!V31,(Datos!L31+Datos!AB31-(Datos!V31+Datos!AJ31))/(Datos!V31+Datos!AJ31))
     ),IF(J_V="SI",(Datos!L31-Datos!V31)/Datos!V31,(Datos!L31+Datos!AB31-(Datos!V31+Datos!AJ31))/(Datos!V31+Datos!AJ31))," - ")</f>
        <v>0.34220532319391633</v>
      </c>
      <c r="H31" s="411">
        <f>IF(ISNUMBER((Datos!M31-Datos!W31)/Datos!W31),(Datos!M31-Datos!W31)/Datos!W31," - ")</f>
        <v>2.4242424242424242E-2</v>
      </c>
      <c r="I31" s="408">
        <f>IF(ISNUMBER((Tasas!C31-Datos!BE31)/Datos!BE31),(Tasas!C31-Datos!BE31)/Datos!BE31," - ")</f>
        <v>0.45014491212209856</v>
      </c>
      <c r="J31" s="409">
        <f>IF(ISNUMBER((Tasas!D31-Datos!BF31)/Datos!BF31),(Tasas!D31-Datos!BF31)/Datos!BF31," - ")</f>
        <v>-0.32623280778262331</v>
      </c>
      <c r="K31" s="410">
        <f>IF(ISNUMBER((Tasas!E31-Datos!BG31)/Datos!BG31),(Tasas!E31-Datos!BG31)/Datos!BG31," - ")</f>
        <v>0.10786461633201681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0.47599207319219894</v>
      </c>
      <c r="E33" s="303">
        <f t="shared" si="1"/>
        <v>0.54656057099317668</v>
      </c>
      <c r="F33" s="303">
        <f t="shared" si="1"/>
        <v>0.47235531503971667</v>
      </c>
      <c r="G33" s="304">
        <f t="shared" si="1"/>
        <v>0.65970226035047896</v>
      </c>
      <c r="H33" s="310">
        <f t="shared" si="1"/>
        <v>0.52482755032079842</v>
      </c>
      <c r="I33" s="302">
        <f t="shared" si="1"/>
        <v>0.57479934656444065</v>
      </c>
      <c r="J33" s="303">
        <f t="shared" si="1"/>
        <v>0.39821002832878488</v>
      </c>
      <c r="K33" s="304">
        <f t="shared" si="1"/>
        <v>6.7548276067138896E-2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FY5QlGVVZKpIodLPRKRaz0JMppJ5drX1eETpdtBpm/StghMJhDWgc/unCaCGFZSUmzSvLPG87g6RArDqvdunw==" saltValue="ydwEjOZu7mMZhQlFV1vUg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